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npllp.sharepoint.com/sites/AFNProposal/Shared Documents/General/Modelling/"/>
    </mc:Choice>
  </mc:AlternateContent>
  <xr:revisionPtr revIDLastSave="0" documentId="8_{BB3F687E-C8E0-45D7-A3CE-1A99278073E8}" xr6:coauthVersionLast="47" xr6:coauthVersionMax="47" xr10:uidLastSave="{00000000-0000-0000-0000-000000000000}"/>
  <bookViews>
    <workbookView xWindow="-110" yWindow="-110" windowWidth="19420" windowHeight="10420" xr2:uid="{D799AC09-78B3-4C54-ACE3-3D926B557118}"/>
  </bookViews>
  <sheets>
    <sheet name="Instructions" sheetId="11" r:id="rId1"/>
    <sheet name="Dashboard" sheetId="10" r:id="rId2"/>
    <sheet name="Summary Results" sheetId="19" r:id="rId3"/>
    <sheet name="Calculations-&gt;&gt;" sheetId="4" r:id="rId4"/>
    <sheet name="Permanent Staff Salaries" sheetId="8" r:id="rId5"/>
    <sheet name="Specialist Services Fees" sheetId="13" r:id="rId6"/>
    <sheet name="Cultural Needs Costs" sheetId="21" r:id="rId7"/>
    <sheet name="Equipment and Resources Costs" sheetId="16" r:id="rId8"/>
    <sheet name=" Other Expenses" sheetId="18" r:id="rId9"/>
    <sheet name="Inputs-&gt;&gt; " sheetId="1" r:id="rId10"/>
    <sheet name="Perm Staff Wage Data" sheetId="6" r:id="rId11"/>
    <sheet name="Specialist Fees Data" sheetId="14" r:id="rId12"/>
    <sheet name="Equipment and Resources Data" sheetId="15" r:id="rId13"/>
    <sheet name="Cultural Needs Data" sheetId="20" r:id="rId14"/>
    <sheet name="Other Expenses" sheetId="17" r:id="rId15"/>
    <sheet name="FN Remoteness" sheetId="2" r:id="rId16"/>
    <sheet name="List of First Nations" sheetId="12" r:id="rId17"/>
  </sheets>
  <definedNames>
    <definedName name="Alberta">'List of First Nations'!$A$2:$A$47</definedName>
    <definedName name="Atlantic">'List of First Nations'!$F$2:$F$35</definedName>
    <definedName name="Manitoba">'List of First Nations'!$C$2:$C$64</definedName>
    <definedName name="Ontario">'List of First Nations'!$D$2:$D$128</definedName>
    <definedName name="Quebec">'List of First Nations'!$E$2:$E$41</definedName>
    <definedName name="Saskatchewan">'List of First Nations'!$B$2:$B$71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19" l="1"/>
  <c r="B39" i="19"/>
  <c r="B37" i="19"/>
  <c r="B36" i="19"/>
  <c r="B30" i="19"/>
  <c r="B31" i="19"/>
  <c r="B32" i="19"/>
  <c r="B33" i="19"/>
  <c r="B29" i="19"/>
  <c r="B6" i="8"/>
  <c r="B50" i="6"/>
  <c r="B38" i="6"/>
  <c r="B31" i="6"/>
  <c r="E29" i="6"/>
  <c r="B30" i="6"/>
  <c r="B29" i="6"/>
  <c r="E30" i="6"/>
  <c r="B10" i="13"/>
  <c r="B9" i="13"/>
  <c r="B8" i="13"/>
  <c r="B15" i="10"/>
  <c r="B4" i="16" l="1"/>
  <c r="B5" i="8"/>
  <c r="B8" i="8"/>
  <c r="B7" i="8"/>
  <c r="C6" i="16"/>
  <c r="B64" i="6"/>
  <c r="B63" i="6"/>
  <c r="B62" i="6"/>
  <c r="E62" i="6" s="1"/>
  <c r="B61" i="6"/>
  <c r="B60" i="6"/>
  <c r="B59" i="6"/>
  <c r="B58" i="6"/>
  <c r="B57" i="6"/>
  <c r="B56" i="6"/>
  <c r="B55" i="6"/>
  <c r="E55" i="6" s="1"/>
  <c r="C8" i="8" s="1"/>
  <c r="B46" i="6"/>
  <c r="B47" i="6"/>
  <c r="B48" i="6"/>
  <c r="B49" i="6"/>
  <c r="B45" i="6"/>
  <c r="B37" i="6"/>
  <c r="B36" i="6"/>
  <c r="B35" i="6"/>
  <c r="B34" i="6"/>
  <c r="B33" i="6"/>
  <c r="B32" i="6"/>
  <c r="B4" i="8"/>
  <c r="B11" i="17"/>
  <c r="C3" i="21"/>
  <c r="C14" i="16"/>
  <c r="B3" i="20"/>
  <c r="C12" i="18"/>
  <c r="D12" i="18" s="1"/>
  <c r="B11" i="13"/>
  <c r="B11" i="18"/>
  <c r="D11" i="18" s="1"/>
  <c r="B7" i="18"/>
  <c r="C7" i="18" s="1"/>
  <c r="C13" i="16"/>
  <c r="B14" i="16"/>
  <c r="C4" i="16"/>
  <c r="C7" i="16"/>
  <c r="C8" i="16"/>
  <c r="C9" i="16"/>
  <c r="C3" i="16"/>
  <c r="B18" i="15"/>
  <c r="B12" i="15"/>
  <c r="C5" i="21"/>
  <c r="B5" i="21"/>
  <c r="D5" i="21" s="1"/>
  <c r="B20" i="19" s="1"/>
  <c r="C20" i="19" s="1"/>
  <c r="B3" i="21"/>
  <c r="E63" i="6"/>
  <c r="E61" i="6"/>
  <c r="E64" i="6"/>
  <c r="E59" i="6"/>
  <c r="E58" i="6"/>
  <c r="E56" i="6"/>
  <c r="E57" i="6"/>
  <c r="F4" i="8"/>
  <c r="B6" i="18" l="1"/>
  <c r="C6" i="18" s="1"/>
  <c r="B5" i="18"/>
  <c r="C5" i="18" s="1"/>
  <c r="B4" i="18"/>
  <c r="C4" i="18" s="1"/>
  <c r="E60" i="6"/>
  <c r="B3" i="16"/>
  <c r="B9" i="16"/>
  <c r="B8" i="16"/>
  <c r="B7" i="16"/>
  <c r="B6" i="16"/>
  <c r="B5" i="16"/>
  <c r="F11" i="18"/>
  <c r="B24" i="19" s="1"/>
  <c r="C24" i="19" s="1"/>
  <c r="E7" i="18"/>
  <c r="B23" i="19" s="1"/>
  <c r="C23" i="19" s="1"/>
  <c r="D14" i="16"/>
  <c r="D3" i="21"/>
  <c r="E5" i="6"/>
  <c r="F4" i="19"/>
  <c r="F5" i="19"/>
  <c r="F6" i="19"/>
  <c r="F7" i="19"/>
  <c r="F3" i="19"/>
  <c r="B19" i="19" l="1"/>
  <c r="C19" i="19" s="1"/>
  <c r="D6" i="21"/>
  <c r="B18" i="19" s="1"/>
  <c r="C18" i="19" s="1"/>
  <c r="B13" i="16"/>
  <c r="D13" i="16" s="1"/>
  <c r="D16" i="16" s="1"/>
  <c r="C11" i="13"/>
  <c r="C10" i="13"/>
  <c r="C9" i="13"/>
  <c r="C8" i="13"/>
  <c r="C4" i="13"/>
  <c r="B4" i="13"/>
  <c r="D64" i="14"/>
  <c r="D63" i="14"/>
  <c r="D62" i="14"/>
  <c r="D61" i="14"/>
  <c r="D65" i="14" s="1"/>
  <c r="D60" i="14"/>
  <c r="D59" i="14"/>
  <c r="D58" i="14"/>
  <c r="D57" i="14"/>
  <c r="D56" i="14"/>
  <c r="D51" i="14"/>
  <c r="D38" i="14"/>
  <c r="D25" i="14"/>
  <c r="D43" i="14"/>
  <c r="D44" i="14"/>
  <c r="D45" i="14"/>
  <c r="D46" i="14"/>
  <c r="D47" i="14"/>
  <c r="D48" i="14"/>
  <c r="D49" i="14"/>
  <c r="D50" i="14"/>
  <c r="D42" i="14"/>
  <c r="D30" i="14"/>
  <c r="D31" i="14"/>
  <c r="D32" i="14"/>
  <c r="D33" i="14"/>
  <c r="D34" i="14"/>
  <c r="D35" i="14"/>
  <c r="D36" i="14"/>
  <c r="D37" i="14"/>
  <c r="D29" i="14"/>
  <c r="D17" i="14"/>
  <c r="D18" i="14"/>
  <c r="D19" i="14"/>
  <c r="D20" i="14"/>
  <c r="D21" i="14"/>
  <c r="D22" i="14"/>
  <c r="D23" i="14"/>
  <c r="D24" i="14"/>
  <c r="D16" i="14"/>
  <c r="C12" i="14"/>
  <c r="B12" i="14"/>
  <c r="C8" i="14"/>
  <c r="B8" i="14"/>
  <c r="B7" i="14"/>
  <c r="D6" i="14"/>
  <c r="C6" i="14"/>
  <c r="C5" i="14"/>
  <c r="B5" i="14"/>
  <c r="D4" i="14"/>
  <c r="D5" i="14"/>
  <c r="D7" i="14"/>
  <c r="D8" i="14"/>
  <c r="D12" i="14"/>
  <c r="D3" i="14"/>
  <c r="B17" i="19" l="1"/>
  <c r="C17" i="19" s="1"/>
  <c r="E50" i="6" l="1"/>
  <c r="B43" i="6"/>
  <c r="B12" i="6"/>
  <c r="E12" i="6" s="1"/>
  <c r="B5" i="10"/>
  <c r="E38" i="6" l="1"/>
  <c r="E49" i="6"/>
  <c r="E48" i="6"/>
  <c r="E47" i="6"/>
  <c r="E46" i="6"/>
  <c r="E45" i="6"/>
  <c r="E44" i="6"/>
  <c r="E43" i="6"/>
  <c r="E42" i="6"/>
  <c r="E41" i="6"/>
  <c r="C7" i="8" s="1"/>
  <c r="E37" i="6"/>
  <c r="E36" i="6"/>
  <c r="E35" i="6"/>
  <c r="E34" i="6"/>
  <c r="E33" i="6"/>
  <c r="E32" i="6"/>
  <c r="E31" i="6"/>
  <c r="C6" i="8"/>
  <c r="B17" i="6"/>
  <c r="E17" i="6" s="1"/>
  <c r="B23" i="6"/>
  <c r="E23" i="6" s="1"/>
  <c r="B22" i="6"/>
  <c r="E22" i="6" s="1"/>
  <c r="B21" i="6"/>
  <c r="B25" i="6" s="1"/>
  <c r="E25" i="6" s="1"/>
  <c r="B19" i="6"/>
  <c r="B16" i="6"/>
  <c r="B3" i="6"/>
  <c r="E24" i="6"/>
  <c r="E20" i="6"/>
  <c r="E19" i="6"/>
  <c r="E18" i="6"/>
  <c r="E16" i="6"/>
  <c r="B7" i="10"/>
  <c r="B6" i="10"/>
  <c r="B6" i="6"/>
  <c r="E6" i="6" s="1"/>
  <c r="E11" i="6"/>
  <c r="E10" i="6"/>
  <c r="E9" i="6"/>
  <c r="E8" i="6"/>
  <c r="E7" i="6"/>
  <c r="E4" i="6"/>
  <c r="E3" i="6"/>
  <c r="D4" i="18" l="1"/>
  <c r="E4" i="18" s="1"/>
  <c r="D8" i="8"/>
  <c r="D6" i="8"/>
  <c r="H6" i="8" s="1"/>
  <c r="D7" i="8"/>
  <c r="G7" i="8" s="1"/>
  <c r="E12" i="18"/>
  <c r="F12" i="18" s="1"/>
  <c r="B25" i="19" s="1"/>
  <c r="C25" i="19" s="1"/>
  <c r="D5" i="16"/>
  <c r="E5" i="16" s="1"/>
  <c r="C5" i="8"/>
  <c r="D5" i="8" s="1"/>
  <c r="C4" i="8"/>
  <c r="D4" i="8" s="1"/>
  <c r="E21" i="6"/>
  <c r="D4" i="16"/>
  <c r="E4" i="16" s="1"/>
  <c r="D6" i="18"/>
  <c r="E6" i="18" s="1"/>
  <c r="D6" i="16"/>
  <c r="E6" i="16" s="1"/>
  <c r="D8" i="16"/>
  <c r="E8" i="16" s="1"/>
  <c r="D7" i="16"/>
  <c r="E7" i="16" s="1"/>
  <c r="D9" i="16"/>
  <c r="D5" i="18"/>
  <c r="E5" i="18" s="1"/>
  <c r="D3" i="16"/>
  <c r="E3" i="16" s="1"/>
  <c r="D11" i="13"/>
  <c r="D8" i="13"/>
  <c r="D9" i="13"/>
  <c r="D10" i="13"/>
  <c r="D4" i="13"/>
  <c r="F4" i="13" s="1"/>
  <c r="G6" i="8" l="1"/>
  <c r="I6" i="8" s="1"/>
  <c r="B6" i="19" s="1"/>
  <c r="H7" i="8"/>
  <c r="I7" i="8" s="1"/>
  <c r="H8" i="8"/>
  <c r="G8" i="8"/>
  <c r="I8" i="8" s="1"/>
  <c r="F13" i="18"/>
  <c r="B21" i="19" s="1"/>
  <c r="F8" i="13"/>
  <c r="B11" i="19" s="1"/>
  <c r="C11" i="19" s="1"/>
  <c r="F11" i="13"/>
  <c r="B14" i="19" s="1"/>
  <c r="C14" i="19" s="1"/>
  <c r="F10" i="13"/>
  <c r="B13" i="19" s="1"/>
  <c r="C13" i="19" s="1"/>
  <c r="F9" i="13"/>
  <c r="B12" i="19" s="1"/>
  <c r="C12" i="19" s="1"/>
  <c r="B22" i="19"/>
  <c r="C22" i="19" s="1"/>
  <c r="E9" i="16"/>
  <c r="E10" i="16" s="1"/>
  <c r="G5" i="8"/>
  <c r="G4" i="8"/>
  <c r="H4" i="8"/>
  <c r="B10" i="19"/>
  <c r="C10" i="19" s="1"/>
  <c r="H5" i="8"/>
  <c r="C21" i="19" l="1"/>
  <c r="D15" i="16"/>
  <c r="D17" i="16" s="1"/>
  <c r="B15" i="19" s="1"/>
  <c r="C15" i="19" s="1"/>
  <c r="C6" i="19"/>
  <c r="B7" i="19"/>
  <c r="C7" i="19" s="1"/>
  <c r="I5" i="8"/>
  <c r="B5" i="19" s="1"/>
  <c r="C5" i="19" s="1"/>
  <c r="I4" i="8"/>
  <c r="B4" i="19" s="1"/>
  <c r="B8" i="19"/>
  <c r="C8" i="19" s="1"/>
  <c r="F12" i="13"/>
  <c r="B9" i="19" s="1"/>
  <c r="C9" i="19" s="1"/>
  <c r="B16" i="19" l="1"/>
  <c r="C16" i="19" s="1"/>
  <c r="I9" i="8"/>
  <c r="B3" i="19" s="1"/>
  <c r="C4" i="19"/>
  <c r="B26" i="19" l="1"/>
  <c r="C3" i="19"/>
  <c r="C26" i="19" s="1"/>
</calcChain>
</file>

<file path=xl/sharedStrings.xml><?xml version="1.0" encoding="utf-8"?>
<sst xmlns="http://schemas.openxmlformats.org/spreadsheetml/2006/main" count="2617" uniqueCount="844">
  <si>
    <t>First Nations - Inclusive Education Cost Model</t>
  </si>
  <si>
    <t>Assembly of First Nations</t>
  </si>
  <si>
    <t>Cells thoughout the model are colour coded as follows:</t>
  </si>
  <si>
    <t>Fixed parameter, do not modify</t>
  </si>
  <si>
    <t>Automatically calculated field, do not modify</t>
  </si>
  <si>
    <t>Variable parameter, modify as appropriate</t>
  </si>
  <si>
    <t>Estimate calculated by the model</t>
  </si>
  <si>
    <t>The Model includes multiple tabs:</t>
  </si>
  <si>
    <r>
      <t xml:space="preserve">The </t>
    </r>
    <r>
      <rPr>
        <b/>
        <sz val="11"/>
        <color theme="1"/>
        <rFont val="Calibri"/>
        <family val="2"/>
        <scheme val="minor"/>
      </rPr>
      <t>Dashboard tab (</t>
    </r>
    <r>
      <rPr>
        <b/>
        <sz val="11"/>
        <color rgb="FFFF0000"/>
        <rFont val="Calibri"/>
        <family val="2"/>
        <scheme val="minor"/>
      </rPr>
      <t>colored red</t>
    </r>
    <r>
      <rPr>
        <b/>
        <sz val="11"/>
        <color theme="1"/>
        <rFont val="Calibri"/>
        <family val="2"/>
        <scheme val="minor"/>
      </rPr>
      <t>)</t>
    </r>
    <r>
      <rPr>
        <sz val="11"/>
        <color theme="1"/>
        <rFont val="Calibri"/>
        <family val="2"/>
        <scheme val="minor"/>
      </rPr>
      <t xml:space="preserve"> is where users select the First Nation to estimate inclusive education costs for, and enter all of the required education information. The information on this tab </t>
    </r>
    <r>
      <rPr>
        <b/>
        <sz val="11"/>
        <color theme="1"/>
        <rFont val="Calibri"/>
        <family val="2"/>
        <scheme val="minor"/>
      </rPr>
      <t>must</t>
    </r>
    <r>
      <rPr>
        <sz val="11"/>
        <color theme="1"/>
        <rFont val="Calibri"/>
        <family val="2"/>
        <scheme val="minor"/>
      </rPr>
      <t xml:space="preserve"> be filled by the user.
The </t>
    </r>
    <r>
      <rPr>
        <b/>
        <sz val="11"/>
        <color theme="1"/>
        <rFont val="Calibri"/>
        <family val="2"/>
        <scheme val="minor"/>
      </rPr>
      <t>Summary Results tabs (</t>
    </r>
    <r>
      <rPr>
        <b/>
        <sz val="11"/>
        <color theme="5"/>
        <rFont val="Calibri"/>
        <family val="2"/>
        <scheme val="minor"/>
      </rPr>
      <t>colored orange</t>
    </r>
    <r>
      <rPr>
        <b/>
        <sz val="11"/>
        <color theme="1"/>
        <rFont val="Calibri"/>
        <family val="2"/>
        <scheme val="minor"/>
      </rPr>
      <t>)</t>
    </r>
    <r>
      <rPr>
        <sz val="11"/>
        <color theme="1"/>
        <rFont val="Calibri"/>
        <family val="2"/>
        <scheme val="minor"/>
      </rPr>
      <t xml:space="preserve"> include the estimates for inclusive education costs by cost category, including total costs for school counselors, program coordinators etc.. All cost estimates on this tab are calculated automatically.
The </t>
    </r>
    <r>
      <rPr>
        <b/>
        <sz val="11"/>
        <color theme="1"/>
        <rFont val="Calibri"/>
        <family val="2"/>
        <scheme val="minor"/>
      </rPr>
      <t>Calculations tab (</t>
    </r>
    <r>
      <rPr>
        <b/>
        <sz val="11"/>
        <color theme="9" tint="-0.249977111117893"/>
        <rFont val="Calibri"/>
        <family val="2"/>
        <scheme val="minor"/>
      </rPr>
      <t>colored green</t>
    </r>
    <r>
      <rPr>
        <b/>
        <sz val="11"/>
        <color theme="1"/>
        <rFont val="Calibri"/>
        <family val="2"/>
        <scheme val="minor"/>
      </rPr>
      <t>)</t>
    </r>
    <r>
      <rPr>
        <sz val="11"/>
        <color theme="1"/>
        <rFont val="Calibri"/>
        <family val="2"/>
        <scheme val="minor"/>
      </rPr>
      <t xml:space="preserve"> and Inputs tabs provide the calculations and assumptions used to estimate overall costs.</t>
    </r>
  </si>
  <si>
    <t>INPUT PARAMETERS</t>
  </si>
  <si>
    <t>Province (please select -&gt;)</t>
  </si>
  <si>
    <t>Alberta</t>
  </si>
  <si>
    <t>First Nation (please select -&gt;)</t>
  </si>
  <si>
    <t>Woodland Cree First Nation</t>
  </si>
  <si>
    <r>
      <rPr>
        <b/>
        <sz val="12"/>
        <color theme="1"/>
        <rFont val="Calibri"/>
        <family val="2"/>
        <scheme val="minor"/>
      </rPr>
      <t xml:space="preserve">Note: </t>
    </r>
    <r>
      <rPr>
        <sz val="12"/>
        <color theme="1"/>
        <rFont val="Calibri"/>
        <family val="2"/>
        <scheme val="minor"/>
      </rPr>
      <t xml:space="preserve">For regional organizations, please select a representative/proxy First Nation. </t>
    </r>
  </si>
  <si>
    <t>Remoteness Factor</t>
  </si>
  <si>
    <t>Cost Adjustment Factor</t>
  </si>
  <si>
    <t>Fly-in Community</t>
  </si>
  <si>
    <t>First Nations Information:</t>
  </si>
  <si>
    <t>Number of Students in K-6</t>
  </si>
  <si>
    <t>Number of Students in 7-12</t>
  </si>
  <si>
    <t xml:space="preserve">Number of Students with Mild/Moderate Disabilities </t>
  </si>
  <si>
    <t>Number of Students with Severe/Profound Disabailities</t>
  </si>
  <si>
    <t>Number of Schools</t>
  </si>
  <si>
    <t>Number of Classrooms (Calculated, 17 students Per Classroom)</t>
  </si>
  <si>
    <t>Number of Classrooms (Please enter manually, and LEAVE BLANK if this option is not necessary)</t>
  </si>
  <si>
    <r>
      <rPr>
        <b/>
        <sz val="12"/>
        <rFont val="Calibri"/>
        <family val="2"/>
        <scheme val="minor"/>
      </rPr>
      <t>Note:</t>
    </r>
    <r>
      <rPr>
        <sz val="12"/>
        <rFont val="Calibri"/>
        <family val="2"/>
        <scheme val="minor"/>
      </rPr>
      <t xml:space="preserve"> If the automatically calculated number of classroom does not accurately reflect the true number of classrooms, enter the number of classrooms manually in cell B16. </t>
    </r>
  </si>
  <si>
    <t xml:space="preserve">Additional Qualitative Inputs/Questions </t>
  </si>
  <si>
    <t>Are you currently eligible for teacherages?</t>
  </si>
  <si>
    <t>What percentage of teachers come from outside of the community?</t>
  </si>
  <si>
    <t>Are there hotels  available within 1.5 hour drive from the community?</t>
  </si>
  <si>
    <t>INCLUSIVE EDUCATION - ANNUAL OPERATIONAL  COSTS</t>
  </si>
  <si>
    <t>Cost Category</t>
  </si>
  <si>
    <t>Annual Amount ($)</t>
  </si>
  <si>
    <t>Annual Amount Per Student ($)</t>
  </si>
  <si>
    <t>Permanent Staff Salaries</t>
  </si>
  <si>
    <t>Inclusive Education Program Coordination</t>
  </si>
  <si>
    <t>Special Education Teachers (Resource Teachers)</t>
  </si>
  <si>
    <t>Education Assistants</t>
  </si>
  <si>
    <t>Counsellors/Community Liaison Worker/Social Worker</t>
  </si>
  <si>
    <t>Assistant SLP</t>
  </si>
  <si>
    <t>Specialist Services (Contracted)</t>
  </si>
  <si>
    <t>Assessments</t>
  </si>
  <si>
    <t>Physiotherapy (PT)</t>
  </si>
  <si>
    <t>Occupational Therapy (OT)</t>
  </si>
  <si>
    <t>Speech-Language Pathologists (SLP)</t>
  </si>
  <si>
    <t>Psychology</t>
  </si>
  <si>
    <t xml:space="preserve">Equipment and Resources </t>
  </si>
  <si>
    <t>Classroom Resources</t>
  </si>
  <si>
    <t>School Resources</t>
  </si>
  <si>
    <t>Cultural Needs Costs</t>
  </si>
  <si>
    <t>Elders and Knowledge Keepers</t>
  </si>
  <si>
    <t>Cultural Ceremonies/Traditional Wellness and Healing</t>
  </si>
  <si>
    <t>Other Expenses</t>
  </si>
  <si>
    <t>Professional Development</t>
  </si>
  <si>
    <t>Inclusive Education Documentation</t>
  </si>
  <si>
    <t xml:space="preserve">Community Engagement </t>
  </si>
  <si>
    <t xml:space="preserve">Case Management </t>
  </si>
  <si>
    <t>TOTAL</t>
  </si>
  <si>
    <t>The following set of tabs contains the calcuations by cost component:</t>
  </si>
  <si>
    <r>
      <t>Permanent Staff Salaries -</t>
    </r>
    <r>
      <rPr>
        <sz val="11"/>
        <color theme="1"/>
        <rFont val="Calibri"/>
        <family val="2"/>
        <scheme val="minor"/>
      </rPr>
      <t xml:space="preserve"> This tab calculates the annual salary/costs of the permanent staff.</t>
    </r>
  </si>
  <si>
    <r>
      <t>Specialist Services Fees -</t>
    </r>
    <r>
      <rPr>
        <sz val="11"/>
        <color theme="1"/>
        <rFont val="Calibri"/>
        <family val="2"/>
        <scheme val="minor"/>
      </rPr>
      <t xml:space="preserve"> This tab calculates the fees associated with specialist services. </t>
    </r>
  </si>
  <si>
    <r>
      <rPr>
        <b/>
        <sz val="11"/>
        <color theme="1"/>
        <rFont val="Calibri"/>
        <family val="2"/>
        <scheme val="minor"/>
      </rPr>
      <t>Cultural Needs Costs -</t>
    </r>
    <r>
      <rPr>
        <sz val="11"/>
        <color theme="1"/>
        <rFont val="Calibri"/>
        <family val="2"/>
        <scheme val="minor"/>
      </rPr>
      <t xml:space="preserve"> This tab calculates the costs associated with school cultural needs.</t>
    </r>
  </si>
  <si>
    <r>
      <t xml:space="preserve">Equipment and Resources Costs - </t>
    </r>
    <r>
      <rPr>
        <sz val="11"/>
        <color theme="1"/>
        <rFont val="Calibri"/>
        <family val="2"/>
        <scheme val="minor"/>
      </rPr>
      <t>This tab calculates the costs associated with school resources and materials.</t>
    </r>
  </si>
  <si>
    <r>
      <t xml:space="preserve">Cost of Other Expenses </t>
    </r>
    <r>
      <rPr>
        <sz val="11"/>
        <color theme="1"/>
        <rFont val="Calibri"/>
        <family val="2"/>
        <scheme val="minor"/>
      </rPr>
      <t xml:space="preserve">- this tab calculates the costs associated with other expenses. </t>
    </r>
  </si>
  <si>
    <t>Role</t>
  </si>
  <si>
    <t>Number of Staff (FTEs)</t>
  </si>
  <si>
    <t>Annual Salary</t>
  </si>
  <si>
    <t>Annual Salary - Remoteness Adjusted</t>
  </si>
  <si>
    <t>Benefits (%)</t>
  </si>
  <si>
    <t xml:space="preserve">Allowance </t>
  </si>
  <si>
    <t xml:space="preserve">CPP </t>
  </si>
  <si>
    <t>EI</t>
  </si>
  <si>
    <t>Annual Cost</t>
  </si>
  <si>
    <t>Employer Contribution rate</t>
  </si>
  <si>
    <t>Exemption</t>
  </si>
  <si>
    <t>Maximum Earnings</t>
  </si>
  <si>
    <t>Maximum employer contribution</t>
  </si>
  <si>
    <t>CPP</t>
  </si>
  <si>
    <t>https://www.canada.ca/en/revenue-agency/services/tax/businesses/topics/payroll/payroll-deductions-contributions/canada-pension-plan-cpp/cpp-contribution-rates-maximums-exemptions.html</t>
  </si>
  <si>
    <t>https://www.canada.ca/en/revenue-agency/services/tax/businesses/topics/payroll/payroll-deductions-contributions/employment-insurance-ei/ei-premium-rates-maximums.html#tb2</t>
  </si>
  <si>
    <t>Number of Students in School/Division</t>
  </si>
  <si>
    <t>Permanent Staff Ranges:</t>
  </si>
  <si>
    <t>Fewer than 150</t>
  </si>
  <si>
    <t>150 to 300</t>
  </si>
  <si>
    <t>300 to 500</t>
  </si>
  <si>
    <t>Above 500</t>
  </si>
  <si>
    <t>Calculated field, do not modify</t>
  </si>
  <si>
    <t>Enter relevant parameters</t>
  </si>
  <si>
    <t>Number of Mild/Moderate</t>
  </si>
  <si>
    <t>Number of Severe</t>
  </si>
  <si>
    <t>Estimate</t>
  </si>
  <si>
    <t>Fewer than 30</t>
  </si>
  <si>
    <t>30 to 50</t>
  </si>
  <si>
    <t>50 to 70</t>
  </si>
  <si>
    <t>Above 70</t>
  </si>
  <si>
    <t xml:space="preserve">Fewer than 10 </t>
  </si>
  <si>
    <t>10 to 15</t>
  </si>
  <si>
    <t>Above 15</t>
  </si>
  <si>
    <t>Certified School-based Staff (Special Needs Teachers)</t>
  </si>
  <si>
    <t>Every 5 Mild/Moderate Students in K-6</t>
  </si>
  <si>
    <t>Every 10 Mild/Moderate Students in 7-12</t>
  </si>
  <si>
    <t>Each student Severe to Profound</t>
  </si>
  <si>
    <t>Number of Students</t>
  </si>
  <si>
    <t>Fewer than 75</t>
  </si>
  <si>
    <t>75 to 150</t>
  </si>
  <si>
    <t>Additional increments of 75</t>
  </si>
  <si>
    <t>Counselors</t>
  </si>
  <si>
    <t>Specialist Services</t>
  </si>
  <si>
    <t>Number of Assessments Required</t>
  </si>
  <si>
    <t>Cost of Assessments (Contractor)</t>
  </si>
  <si>
    <t>Cost of Assessments (Contractor) - Remoteness Adjusted</t>
  </si>
  <si>
    <t>Hours of Service Required (per week)</t>
  </si>
  <si>
    <t>Total Hourly Wage (Contractor)</t>
  </si>
  <si>
    <t>Total Hourly Wage - Remoteness Adjusted</t>
  </si>
  <si>
    <t>Notes</t>
  </si>
  <si>
    <t xml:space="preserve">10% of the total student enrolment (e.g. With a student population of 100, the budget would reflect funding for 10 assessments) </t>
  </si>
  <si>
    <t>1 hr/wk for individual students (severe/profound)</t>
  </si>
  <si>
    <t>1 hr/wk for groups of 5 students (mild/moderate)</t>
  </si>
  <si>
    <t>SLP</t>
  </si>
  <si>
    <t>1.       One full time Psychologist is needed for every 500 students. A full-time Psychologist is working 40 hours/week, 36 weeks/year (1,440 hours/year). – E.g. a school with enrollment of 100 students uses an average of 8 hours of service per week.[1]</t>
  </si>
  <si>
    <t>Cost Per School</t>
  </si>
  <si>
    <t>Part-time Elder</t>
  </si>
  <si>
    <t>Supplies</t>
  </si>
  <si>
    <t>Cultural Needs Costs TOTAL</t>
  </si>
  <si>
    <t>Equipment and Resources</t>
  </si>
  <si>
    <t>Number of Classrooms</t>
  </si>
  <si>
    <t>Cost Per Classroom</t>
  </si>
  <si>
    <t>Cost Per Classroom - Remoteness Adjusted</t>
  </si>
  <si>
    <t>Classroom Equipment and Resources</t>
  </si>
  <si>
    <t>Designated Quiet Space</t>
  </si>
  <si>
    <t>Sensory/Calm Down Kit</t>
  </si>
  <si>
    <t>Flexible Seating Options</t>
  </si>
  <si>
    <t>FM System</t>
  </si>
  <si>
    <t>C-pens</t>
  </si>
  <si>
    <t>Weighted Vests/Lap Blankets</t>
  </si>
  <si>
    <t>Specialized Software/Apps</t>
  </si>
  <si>
    <t>School Equipment and Resources</t>
  </si>
  <si>
    <t>Sensory Room Budget</t>
  </si>
  <si>
    <t>Outdoor Classroom Space</t>
  </si>
  <si>
    <t>Classroom Equipment and Resources TOTAL</t>
  </si>
  <si>
    <t>School Equipment and Resources TOTAL</t>
  </si>
  <si>
    <t>Equipment and Resources TOTAL</t>
  </si>
  <si>
    <t>Number of Staff</t>
  </si>
  <si>
    <t>Costs Per Year</t>
  </si>
  <si>
    <t xml:space="preserve">Costs Per Year - Remoteness Adjusted </t>
  </si>
  <si>
    <t>Special Education Teacher and Inclusive Education Coordinator</t>
  </si>
  <si>
    <t>Teachers and Conselors</t>
  </si>
  <si>
    <t>N/A</t>
  </si>
  <si>
    <t>Number of Severe/Profound Students</t>
  </si>
  <si>
    <t>Inclusive Education Notes</t>
  </si>
  <si>
    <t>Size of District</t>
  </si>
  <si>
    <t>Budget Amount*</t>
  </si>
  <si>
    <t>One school</t>
  </si>
  <si>
    <t>$50 000</t>
  </si>
  <si>
    <t>Two-Five schools</t>
  </si>
  <si>
    <t>Six+ schools</t>
  </si>
  <si>
    <t>This set of tabs contain the background assumptions and cost inputs:</t>
  </si>
  <si>
    <r>
      <t xml:space="preserve">Perf Staff Wage Data - </t>
    </r>
    <r>
      <rPr>
        <sz val="11"/>
        <color theme="1"/>
        <rFont val="Calibri"/>
        <family val="2"/>
        <scheme val="minor"/>
      </rPr>
      <t>this tab includes the wage data for permanent staff.</t>
    </r>
  </si>
  <si>
    <r>
      <t xml:space="preserve">Specialist Fees Data - </t>
    </r>
    <r>
      <rPr>
        <sz val="11"/>
        <color theme="1"/>
        <rFont val="Calibri"/>
        <family val="2"/>
        <scheme val="minor"/>
      </rPr>
      <t xml:space="preserve">this tab includes the data for specialist fees. </t>
    </r>
  </si>
  <si>
    <r>
      <rPr>
        <b/>
        <sz val="11"/>
        <color theme="1"/>
        <rFont val="Calibri"/>
        <family val="2"/>
        <scheme val="minor"/>
      </rPr>
      <t>School Resources and Materials</t>
    </r>
    <r>
      <rPr>
        <sz val="11"/>
        <color theme="1"/>
        <rFont val="Calibri"/>
        <family val="2"/>
        <scheme val="minor"/>
      </rPr>
      <t xml:space="preserve"> - this tab includes the costs data for school resources and materials. </t>
    </r>
  </si>
  <si>
    <r>
      <rPr>
        <b/>
        <sz val="11"/>
        <color theme="1"/>
        <rFont val="Calibri"/>
        <family val="2"/>
        <scheme val="minor"/>
      </rPr>
      <t>Other Expenses</t>
    </r>
    <r>
      <rPr>
        <sz val="11"/>
        <color theme="1"/>
        <rFont val="Calibri"/>
        <family val="2"/>
        <scheme val="minor"/>
      </rPr>
      <t xml:space="preserve"> - this tab includes the costs data for other expenses. </t>
    </r>
  </si>
  <si>
    <r>
      <t xml:space="preserve">FN Remoteness - </t>
    </r>
    <r>
      <rPr>
        <sz val="11"/>
        <color theme="1"/>
        <rFont val="Calibri"/>
        <family val="2"/>
        <scheme val="minor"/>
      </rPr>
      <t>this tab includes the cost adjustment factors for remoteness, by First Nation</t>
    </r>
    <r>
      <rPr>
        <b/>
        <sz val="11"/>
        <color theme="1"/>
        <rFont val="Calibri"/>
        <family val="2"/>
        <scheme val="minor"/>
      </rPr>
      <t>.</t>
    </r>
  </si>
  <si>
    <r>
      <t xml:space="preserve">List of First Nations - </t>
    </r>
    <r>
      <rPr>
        <sz val="11"/>
        <color theme="1"/>
        <rFont val="Calibri"/>
        <family val="2"/>
        <scheme val="minor"/>
      </rPr>
      <t>this tab includes the list of First Nations in Canada, by province</t>
    </r>
  </si>
  <si>
    <t>Inclusive Program Coordinator Salary</t>
  </si>
  <si>
    <t>Urban</t>
  </si>
  <si>
    <t>Rural</t>
  </si>
  <si>
    <t>Remote</t>
  </si>
  <si>
    <t>Average</t>
  </si>
  <si>
    <t>Source</t>
  </si>
  <si>
    <t xml:space="preserve">https://cbe.ab.ca/careers/Documents/Collective-Agreement-CBE-ATA.pdf </t>
  </si>
  <si>
    <t>Saskatchewan</t>
  </si>
  <si>
    <t>https://www.stf.sk.ca/sites/default/files/stf-0041_20210212_rh_web.pdf</t>
  </si>
  <si>
    <t>Manitoba</t>
  </si>
  <si>
    <t>https://sbwsdstor.blob.core.windows.net/media/Default/medialib/wta-collective-agreement-2018-to-2022-february-2-2022.b191cf23359.pdf</t>
  </si>
  <si>
    <t>Ontario</t>
  </si>
  <si>
    <t>https://sp.ltc.gov.on.ca/sites/mol/drs/ca/Education%20and%20Related%20Services/611-11932-22%20(801-0786).pdf#search=Ottawa%20Carleton%20District%20School%20Board</t>
  </si>
  <si>
    <t>Quebec</t>
  </si>
  <si>
    <t>https://mta-aeem.com/wp-content/uploads/2021/03/New-Teachers-Handbook-2020-2021_complete.pdf 
https://qpat-apeq.qc.ca/wp-content/uploads/2021/12/New-salary-scale.pdf</t>
  </si>
  <si>
    <t>New Brunswick</t>
  </si>
  <si>
    <t>https://www2.gnb.ca/content/dam/gnb/Departments/ohr-brh/pdf/ca/201.pdf</t>
  </si>
  <si>
    <t>Nova Scotia</t>
  </si>
  <si>
    <t>https://nstu.blob.core.windows.net/nstuwebsite/data/agreements/Salary%20Scales%202019-2023.pdf</t>
  </si>
  <si>
    <t>PEI</t>
  </si>
  <si>
    <t>peitf.com/Memorandum.pdf</t>
  </si>
  <si>
    <t>Newfoundland</t>
  </si>
  <si>
    <t>https://files.nlta.nl.ca/wp-content/uploads/public/documents/agreements/prov_agmt.pdf</t>
  </si>
  <si>
    <t>Atlantic</t>
  </si>
  <si>
    <t>Median</t>
  </si>
  <si>
    <t>https://www.jobbank.gc.ca/marketreport/wages-occupation/25517/ca</t>
  </si>
  <si>
    <t>https://www.jobbank.gc.ca/marketreport/wages-occupation/16551/SK</t>
  </si>
  <si>
    <t xml:space="preserve"> https://www.jobbank.gc.ca/marketreport/wages-occupation/25517/ON</t>
  </si>
  <si>
    <t>https://www.jobbank.gc.ca/marketreport/wages-occupation/25517/QC</t>
  </si>
  <si>
    <t>https://www.jobbank.gc.ca/marketreport/wages-occupation/16551/NB</t>
  </si>
  <si>
    <t>https://www.jobbank.gc.ca/marketreport/wages-occupation/25517/NS</t>
  </si>
  <si>
    <t xml:space="preserve">https://www.jobbank.gc.ca/marketreport/wages-occupation/25517/PE </t>
  </si>
  <si>
    <t xml:space="preserve"> https://www.jobbank.gc.ca/marketreport/wages-occupation/25517/NL</t>
  </si>
  <si>
    <t>https://alis.alberta.ca/occinfo/occupations-in-alberta/occupation-profiles/educational-counsellor/</t>
  </si>
  <si>
    <t>https://www.erieri.com/salary/job/guidance-counselor/canada/saskatchewan/regina</t>
  </si>
  <si>
    <t>https://www.erieri.com/salary/job/counselor/canada/ontario</t>
  </si>
  <si>
    <t>https://www.quebec.ca/en/employment/trades-occupations/exploring-trades-and-occupations/4033-educational-counsellors#salaire-horaire</t>
  </si>
  <si>
    <t>Yukon</t>
  </si>
  <si>
    <t>Assessments Fees</t>
  </si>
  <si>
    <t>Lower Point Fee</t>
  </si>
  <si>
    <t>Higher Point Fee</t>
  </si>
  <si>
    <t xml:space="preserve">Mid-Point of Hourly Rate </t>
  </si>
  <si>
    <t>Source 1</t>
  </si>
  <si>
    <t>Source 2</t>
  </si>
  <si>
    <t>https://albertacounselling.ca/fees.html#how-much-does-an-assessment-cost</t>
  </si>
  <si>
    <t>https://www.sharonblott.com/resources/fees</t>
  </si>
  <si>
    <t>https://www.assessments.education/fee</t>
  </si>
  <si>
    <t>https://www.pathpsychologicalservices.com/servicesandfees</t>
  </si>
  <si>
    <t>https://www.ldamanitoba.org/assessment-diagnosis#:~:text=A%20psychoeducational%20assessment%20can%20range,depending%20on%20the%20psychologist's%20rates.</t>
  </si>
  <si>
    <t>https://mps.ca/psychologist-fees/</t>
  </si>
  <si>
    <t>https://www.bayridgecounsellingcentres.ca/online-counselling/psycho-educational-assessment/#:~:text=How%20much%20does%20the%20assessment,can%20range%20from%20%242%2C450%20%2D%20%243%2C800.</t>
  </si>
  <si>
    <t>http://psychservices4kids.com/2.html</t>
  </si>
  <si>
    <t>https://drstephaniemargolese.com/psychological-testing-of-your-child-explained</t>
  </si>
  <si>
    <t>https://www.victoriachildpsychology.com/faq.html</t>
  </si>
  <si>
    <t>https://cpamoncton.ca/en/about-us/rates</t>
  </si>
  <si>
    <t>https://www.claritynb.ca/fees-cancellations/</t>
  </si>
  <si>
    <t>Physiotherapy (PT) Fees</t>
  </si>
  <si>
    <t>Lower Point Hourly Rate</t>
  </si>
  <si>
    <t>Higher Point Hourly Rate</t>
  </si>
  <si>
    <t>Hourly Rate Mid-Point for Contractor</t>
  </si>
  <si>
    <t>Taken from the Specialist Services data set</t>
  </si>
  <si>
    <t>Occupational Therapy (OT) Fees</t>
  </si>
  <si>
    <t xml:space="preserve">Speech-Language Pathologists (SLP) Fees </t>
  </si>
  <si>
    <t>Psychologists Fees</t>
  </si>
  <si>
    <t>Annual Costs Per Classroom (defined as 15 students)</t>
  </si>
  <si>
    <t>Total</t>
  </si>
  <si>
    <t>Annual Costs Per School</t>
  </si>
  <si>
    <t>Annual Costs per School</t>
  </si>
  <si>
    <t>Annual Cost Per School/District</t>
  </si>
  <si>
    <t>Teachers</t>
  </si>
  <si>
    <t>$1,500/Classroom Teacher and Counselors or a minimum of $25,000</t>
  </si>
  <si>
    <t xml:space="preserve">$500/EA or a minimum annual budget of $8,000 regardless of number of EAs. </t>
  </si>
  <si>
    <t>Annual Cost Per School</t>
  </si>
  <si>
    <t>Band Name</t>
  </si>
  <si>
    <t>Band Region</t>
  </si>
  <si>
    <t>Census Population 2016</t>
  </si>
  <si>
    <t>Affiliated CSDs</t>
  </si>
  <si>
    <t>Band Transportation Infrastructure</t>
  </si>
  <si>
    <t>Band Remoteness Index (weighted average)</t>
  </si>
  <si>
    <t>Fly-in</t>
  </si>
  <si>
    <t>Abegweit</t>
  </si>
  <si>
    <t>Road connected</t>
  </si>
  <si>
    <t>Lennox Island</t>
  </si>
  <si>
    <t>Elsipogtog First Nation</t>
  </si>
  <si>
    <t>Buctouche</t>
  </si>
  <si>
    <t>Esgenoopetitj First Nation</t>
  </si>
  <si>
    <t>Madawaska Maliseet First Nation</t>
  </si>
  <si>
    <t>Eel Ground</t>
  </si>
  <si>
    <t>Eel River Bar First Nation</t>
  </si>
  <si>
    <t>Fort Folly</t>
  </si>
  <si>
    <t>Indian Island</t>
  </si>
  <si>
    <t>Kingsclear</t>
  </si>
  <si>
    <t>Oromocto</t>
  </si>
  <si>
    <t>Pabineau</t>
  </si>
  <si>
    <t>Metepenagiag Mi'kmaq Nation</t>
  </si>
  <si>
    <t>Saint Mary's</t>
  </si>
  <si>
    <t>Tobique</t>
  </si>
  <si>
    <t>Woodstock</t>
  </si>
  <si>
    <t>Acadia</t>
  </si>
  <si>
    <t>Paq'tnkek First Nation</t>
  </si>
  <si>
    <t>Annapolis Valley</t>
  </si>
  <si>
    <t>Bear River</t>
  </si>
  <si>
    <t>Chapel Island First Nation / Potlotek First Nation</t>
  </si>
  <si>
    <t>Eskasoni</t>
  </si>
  <si>
    <t>Pictou Landing</t>
  </si>
  <si>
    <t>Sipekne'katik/Shubenacadie</t>
  </si>
  <si>
    <t>Membertou</t>
  </si>
  <si>
    <t>Millbrook</t>
  </si>
  <si>
    <t>Wagmatcook</t>
  </si>
  <si>
    <t>Waycobah First Nation</t>
  </si>
  <si>
    <t>Glooscap First Nation</t>
  </si>
  <si>
    <t>Mushuau Innu First Nation</t>
  </si>
  <si>
    <t>Not road connected</t>
  </si>
  <si>
    <t>Sheshatshiu Innu First Nation</t>
  </si>
  <si>
    <t>Qalipu Mi'kmaq First Nation</t>
  </si>
  <si>
    <t>Miawpukek</t>
  </si>
  <si>
    <t>Nation Huronne Wendat</t>
  </si>
  <si>
    <t>Listuguj Mi'gmaq Government</t>
  </si>
  <si>
    <t>Micmacs of Gesgapegiag</t>
  </si>
  <si>
    <t>La Nation Micmac de Gespeg</t>
  </si>
  <si>
    <t>Première Nation Malecite de Viger</t>
  </si>
  <si>
    <t>Conseil de la Première Nation Abitibiwinni</t>
  </si>
  <si>
    <t>Waswanipi</t>
  </si>
  <si>
    <t>Eastmain</t>
  </si>
  <si>
    <t>Cree Nation of Chisasibi</t>
  </si>
  <si>
    <t>Cree Nation of Nemaska</t>
  </si>
  <si>
    <t>Cree Nation of Wemindji</t>
  </si>
  <si>
    <t>The Crees of the Waskaganish First Nation</t>
  </si>
  <si>
    <t>Communauté anicinape de Kitcisakik</t>
  </si>
  <si>
    <t>Nation Anishnabe du Lac Simon</t>
  </si>
  <si>
    <t>Timiskaming First Nation</t>
  </si>
  <si>
    <t>Eagle Village First Nation - Kipawa</t>
  </si>
  <si>
    <t>Long Point First Nation</t>
  </si>
  <si>
    <t>Wolf Lake</t>
  </si>
  <si>
    <t>Mohawks of Kanesatake</t>
  </si>
  <si>
    <t>Kahnawake</t>
  </si>
  <si>
    <t>Abénakis de Wôlinak</t>
  </si>
  <si>
    <t>Odanak</t>
  </si>
  <si>
    <t>Kitigan Zibi Anishinabeg</t>
  </si>
  <si>
    <t>Algonquins of Barriere Lake</t>
  </si>
  <si>
    <t>Cree Nation of Mistissini</t>
  </si>
  <si>
    <t>Montagnais du Lac St.-Jean</t>
  </si>
  <si>
    <t>Conseil des Atikamekw de Wemotaci</t>
  </si>
  <si>
    <t>Les Atikamekw de Manawan</t>
  </si>
  <si>
    <t>Atikamekw d'Opitciwan</t>
  </si>
  <si>
    <t>Innu Takuaikan Uashat Mak Mani-Utenam</t>
  </si>
  <si>
    <t>Naskapi Nation of Kawawachikamach</t>
  </si>
  <si>
    <t>Les Innus de Ekuanitshit</t>
  </si>
  <si>
    <t>Montagnais de Natashquan</t>
  </si>
  <si>
    <t>Montagnais de Unamen Shipu</t>
  </si>
  <si>
    <t>Bande des Innus de Pessamit</t>
  </si>
  <si>
    <t>Innue Essipit</t>
  </si>
  <si>
    <t>La Nation Innu Matimekush-Lac John</t>
  </si>
  <si>
    <t>Montagnais de Pakua Shipi</t>
  </si>
  <si>
    <t>Oujé-Bougoumou Cree Nation</t>
  </si>
  <si>
    <t>Première nation de Whapmagoostui</t>
  </si>
  <si>
    <t>Mississaugas of the Credit</t>
  </si>
  <si>
    <t>Six Nations of the Grand River</t>
  </si>
  <si>
    <t>Chippewas of Nawash First Nation</t>
  </si>
  <si>
    <t>Saugeen</t>
  </si>
  <si>
    <t>Big Grassy</t>
  </si>
  <si>
    <t>Anishnaabeg of Naongashiing</t>
  </si>
  <si>
    <t>Couchiching First Nation</t>
  </si>
  <si>
    <t>Lac La Croix</t>
  </si>
  <si>
    <t>Naicatchewenin</t>
  </si>
  <si>
    <t>Nicickousemenecaning</t>
  </si>
  <si>
    <t>Rainy River First Nations</t>
  </si>
  <si>
    <t>Ojibways of Onigaming First Nation</t>
  </si>
  <si>
    <t>Seine River First Nation</t>
  </si>
  <si>
    <t>Mitaanjigamiing/Stanjikoming First Nation</t>
  </si>
  <si>
    <t>Wahta Mohawk</t>
  </si>
  <si>
    <t>Moose Deer Point</t>
  </si>
  <si>
    <t>Wasauksing First Nation</t>
  </si>
  <si>
    <t>Shawanaga First Nation</t>
  </si>
  <si>
    <t>Chippewas of Georgina Island</t>
  </si>
  <si>
    <t>Chippewas of Rama First Nation</t>
  </si>
  <si>
    <t>Mississauga's of Scugog Island First Nation</t>
  </si>
  <si>
    <t>Beausoleil</t>
  </si>
  <si>
    <t>Albany</t>
  </si>
  <si>
    <t>Attawapiskat</t>
  </si>
  <si>
    <t>Moose Cree First Nation</t>
  </si>
  <si>
    <t>Taykwa Tagamou Nation</t>
  </si>
  <si>
    <t>Weenusk</t>
  </si>
  <si>
    <t>Ochiichagwe'babigo'ining First Nation</t>
  </si>
  <si>
    <t>Eagle Lake</t>
  </si>
  <si>
    <t>Grassy Narrows First Nation</t>
  </si>
  <si>
    <t>Wabaseemoong Independent Nations</t>
  </si>
  <si>
    <t>Northwest Angle No.33</t>
  </si>
  <si>
    <t>Animakee Wa Zhing #37/Northwest Angle No.37</t>
  </si>
  <si>
    <t>Anishinabe of Wauzhushk Onigum</t>
  </si>
  <si>
    <t>Iskatewizaagegan #39 Independent First Nation</t>
  </si>
  <si>
    <t>Shoal Lake No.40</t>
  </si>
  <si>
    <t>Wabauskang First Nation</t>
  </si>
  <si>
    <t>Wabigoon Lake Ojibway Nation</t>
  </si>
  <si>
    <t>Naotkamegwanning</t>
  </si>
  <si>
    <t>Mohawks of Akwesasne</t>
  </si>
  <si>
    <t>Alderville First Nation</t>
  </si>
  <si>
    <t>Curve Lake</t>
  </si>
  <si>
    <t>Hiawatha First Nation</t>
  </si>
  <si>
    <t>Algonquins of Pikwakanagan</t>
  </si>
  <si>
    <t>Mohawks of the Bay of Quinte</t>
  </si>
  <si>
    <t>Caldwell</t>
  </si>
  <si>
    <t>Chippewas of the Thames First Nation</t>
  </si>
  <si>
    <t>Moravian of the Thames</t>
  </si>
  <si>
    <t>Munsee-Delaware Nation</t>
  </si>
  <si>
    <t>Oneida Nation of the Thames</t>
  </si>
  <si>
    <t>Walpole Island</t>
  </si>
  <si>
    <t>Chippewas of Kettle and Stony Point</t>
  </si>
  <si>
    <t>Aamjiwnaang</t>
  </si>
  <si>
    <t>Zhiibaahaasing First Nation</t>
  </si>
  <si>
    <t>Magnetawan</t>
  </si>
  <si>
    <t>Wikwemikong</t>
  </si>
  <si>
    <t>Sheguiandah</t>
  </si>
  <si>
    <t>Sheshegwaning</t>
  </si>
  <si>
    <t>Sagamok Anishnawbek</t>
  </si>
  <si>
    <t>Aundeck-Omni-Kaning</t>
  </si>
  <si>
    <t>M'Chigeeng First Nation</t>
  </si>
  <si>
    <t>Constance Lake</t>
  </si>
  <si>
    <t>Eabametoong First Nation</t>
  </si>
  <si>
    <t>Long Lake No.58 First Nation</t>
  </si>
  <si>
    <t>Ginoogaming First Nation</t>
  </si>
  <si>
    <t>Martin Falls</t>
  </si>
  <si>
    <t>Fort William</t>
  </si>
  <si>
    <t>Gull Bay</t>
  </si>
  <si>
    <t>Lac Des Mille Lacs</t>
  </si>
  <si>
    <t>Whitesand</t>
  </si>
  <si>
    <t>Pays Plat</t>
  </si>
  <si>
    <t>Biigtigong Nishnaabeg/Ojibways of the Pic River First Nation</t>
  </si>
  <si>
    <t>Red Rock</t>
  </si>
  <si>
    <t>Animbiigoo Zaagi'igan Anishinaabek</t>
  </si>
  <si>
    <t>No population</t>
  </si>
  <si>
    <t>Pic Mobert</t>
  </si>
  <si>
    <t>Bingwi Neyaashi Anishinaabek</t>
  </si>
  <si>
    <t>Biinjitiwaabik Zaaging Anishinaabek</t>
  </si>
  <si>
    <t>Batchewana First Nation</t>
  </si>
  <si>
    <t>Garden River First Nation</t>
  </si>
  <si>
    <t>Mississauga</t>
  </si>
  <si>
    <t>Serpent River</t>
  </si>
  <si>
    <t>Thessalon</t>
  </si>
  <si>
    <t>Mishkeegogamang</t>
  </si>
  <si>
    <t>North Caribou Lake</t>
  </si>
  <si>
    <t>Lac Seul</t>
  </si>
  <si>
    <t>Wapekeka</t>
  </si>
  <si>
    <t>Bearskin Lake</t>
  </si>
  <si>
    <t>Pikangikum</t>
  </si>
  <si>
    <t>Kitchenuhmaykoosib Inninuwug</t>
  </si>
  <si>
    <t>Kasabonika Lake</t>
  </si>
  <si>
    <t>Sandy Lake</t>
  </si>
  <si>
    <t>Kingfisher</t>
  </si>
  <si>
    <t>Muskrat Dam Lake</t>
  </si>
  <si>
    <t>Sachigo Lake</t>
  </si>
  <si>
    <t>Fort Severn</t>
  </si>
  <si>
    <t>Cat Lake</t>
  </si>
  <si>
    <t>Wunnumin</t>
  </si>
  <si>
    <t>Dokis</t>
  </si>
  <si>
    <t>Matachewan</t>
  </si>
  <si>
    <t>Nipissing First Nation</t>
  </si>
  <si>
    <t>Chapleau Cree First Nation</t>
  </si>
  <si>
    <t>Temagami First Nation</t>
  </si>
  <si>
    <t>Missanabie Cree</t>
  </si>
  <si>
    <t>Atikameksheng Anishnawbek</t>
  </si>
  <si>
    <t>Michipicoten</t>
  </si>
  <si>
    <t>Mattagami</t>
  </si>
  <si>
    <t>Flying Post</t>
  </si>
  <si>
    <t>Brunswick House</t>
  </si>
  <si>
    <t>Chapleau Ojibway</t>
  </si>
  <si>
    <t>Whitefish River</t>
  </si>
  <si>
    <t>Henvey Inlet First Nation</t>
  </si>
  <si>
    <t>Wahnapitae</t>
  </si>
  <si>
    <t>Wahgoshig</t>
  </si>
  <si>
    <t>Wawakapewin</t>
  </si>
  <si>
    <t>Obashkaandagaang</t>
  </si>
  <si>
    <t>Poplar Hill</t>
  </si>
  <si>
    <t>Deer Lake</t>
  </si>
  <si>
    <t>North Spirit Lake</t>
  </si>
  <si>
    <t>Neskantaga First Nation</t>
  </si>
  <si>
    <t>Webequie</t>
  </si>
  <si>
    <t>Nibinamik First Nation</t>
  </si>
  <si>
    <t>Aroland</t>
  </si>
  <si>
    <t xml:space="preserve">Kashechewan </t>
  </si>
  <si>
    <t>Ojibway Nation of Saugeen</t>
  </si>
  <si>
    <t>Slate Falls Nation</t>
  </si>
  <si>
    <t>Little Black River</t>
  </si>
  <si>
    <t>Brokenhead Ojibway Nation</t>
  </si>
  <si>
    <t>Fort Alexander</t>
  </si>
  <si>
    <t>Hollow Water</t>
  </si>
  <si>
    <t>Fisher River</t>
  </si>
  <si>
    <t>Buffalo Point First Nation</t>
  </si>
  <si>
    <t>Berens River</t>
  </si>
  <si>
    <t>Bloodvein</t>
  </si>
  <si>
    <t>Kinonjeoshtegon First Nation</t>
  </si>
  <si>
    <t>Peguis</t>
  </si>
  <si>
    <t>Little Grand Rapids</t>
  </si>
  <si>
    <t>Lake Manitoba</t>
  </si>
  <si>
    <t>Pinaymootang First Nation</t>
  </si>
  <si>
    <t>Roseau River Anishinabe First Nation Government</t>
  </si>
  <si>
    <t>Little Saskatchewan</t>
  </si>
  <si>
    <t>Lake St. Martin</t>
  </si>
  <si>
    <t>Cross Lake First Nation</t>
  </si>
  <si>
    <t>Poplar River First Nation</t>
  </si>
  <si>
    <t>Norway House Cree Nation</t>
  </si>
  <si>
    <t>O-Chi-Chak-Ko-Sipi First Nation</t>
  </si>
  <si>
    <t>Ebb and Flow</t>
  </si>
  <si>
    <t>Skownan First Nation</t>
  </si>
  <si>
    <t>Pine Creek</t>
  </si>
  <si>
    <t>Sandy Bay</t>
  </si>
  <si>
    <t>Birdtail Sioux</t>
  </si>
  <si>
    <t>Waywayseecappo First Nation Treaty Four - 1874</t>
  </si>
  <si>
    <t>Keeseekoowenin</t>
  </si>
  <si>
    <t>Long Plain</t>
  </si>
  <si>
    <t>Dakota Plains</t>
  </si>
  <si>
    <t>Canupawakpa Dakota First Nation</t>
  </si>
  <si>
    <t>Sioux Valley Dakota Nation</t>
  </si>
  <si>
    <t>Rolling River</t>
  </si>
  <si>
    <t>Tootinaowaziibeeng Treaty Reserve</t>
  </si>
  <si>
    <t>Swan Lake</t>
  </si>
  <si>
    <t>Gamblers</t>
  </si>
  <si>
    <t>Dakota Tipi</t>
  </si>
  <si>
    <t>God's Lake First Nation</t>
  </si>
  <si>
    <t>Garden Hill First Nations</t>
  </si>
  <si>
    <t>St. Theresa Point</t>
  </si>
  <si>
    <t>Wasagamack First Nation</t>
  </si>
  <si>
    <t>Red Sucker Lake</t>
  </si>
  <si>
    <t>Bunibonibee Cree Nation</t>
  </si>
  <si>
    <t>Manto Sipi Cree Nation</t>
  </si>
  <si>
    <t>Sayisi Dene First Nation</t>
  </si>
  <si>
    <t>York Factory First Nation</t>
  </si>
  <si>
    <t>Fox Lake</t>
  </si>
  <si>
    <t>Tataskweyak Cree Nation</t>
  </si>
  <si>
    <t>Shamattawa First Nation</t>
  </si>
  <si>
    <t>Barren Lands</t>
  </si>
  <si>
    <t>Chemawawin Cree Nation</t>
  </si>
  <si>
    <t>Misipawistik Cree Nation/Grand Rapids First Nation</t>
  </si>
  <si>
    <t>Mathias Colomb</t>
  </si>
  <si>
    <t>Mosakahiken Cree Nation</t>
  </si>
  <si>
    <t>Nisichawayasihk Cree Nation</t>
  </si>
  <si>
    <t>Sapotaweyak Cree Nation</t>
  </si>
  <si>
    <t>Opaskwayak Cree Nation</t>
  </si>
  <si>
    <t>Dauphin River</t>
  </si>
  <si>
    <t>Northlands</t>
  </si>
  <si>
    <t>O-Pipon-Na-Piwin Cree Nation</t>
  </si>
  <si>
    <t>War Lake First Nation</t>
  </si>
  <si>
    <t>Wuskwi Sipihk First Nation</t>
  </si>
  <si>
    <t>Kee-Way-Win</t>
  </si>
  <si>
    <t>McDowell Lake</t>
  </si>
  <si>
    <t>Pauingassi First Nation</t>
  </si>
  <si>
    <t xml:space="preserve">Marcel Colomb First Nation </t>
  </si>
  <si>
    <t>Little Pine</t>
  </si>
  <si>
    <t>Lucky Man</t>
  </si>
  <si>
    <t>Moosomin</t>
  </si>
  <si>
    <t>Mosquito, Grizzly Bear's Head, Lean Man First Nati</t>
  </si>
  <si>
    <t>Onion Lake</t>
  </si>
  <si>
    <t>Poundmaker</t>
  </si>
  <si>
    <t>Red Pheasant</t>
  </si>
  <si>
    <t>Saulteaux</t>
  </si>
  <si>
    <t>Sweetgrass</t>
  </si>
  <si>
    <t>Thunderchild First Nation</t>
  </si>
  <si>
    <t>Cumberland House Cree Nation</t>
  </si>
  <si>
    <t>Fond du Lac</t>
  </si>
  <si>
    <t>Hatchet Lake</t>
  </si>
  <si>
    <t>Lac La Ronge</t>
  </si>
  <si>
    <t>Montreal Lake</t>
  </si>
  <si>
    <t>Peter Ballantyne Cree Nation</t>
  </si>
  <si>
    <t>Red Earth</t>
  </si>
  <si>
    <t>Shoal Lake Cree Nation</t>
  </si>
  <si>
    <t>Wahpeton Dakota Nation</t>
  </si>
  <si>
    <t>Black Lake</t>
  </si>
  <si>
    <t>Sturgeon Lake First Nation</t>
  </si>
  <si>
    <t>Cowessess</t>
  </si>
  <si>
    <t>Kahkewistahaw</t>
  </si>
  <si>
    <t>Ochapowace</t>
  </si>
  <si>
    <t>Sakimay First Nations</t>
  </si>
  <si>
    <t>White Bear</t>
  </si>
  <si>
    <t>Cote First Nation 366</t>
  </si>
  <si>
    <t>Keeseekoose</t>
  </si>
  <si>
    <t>The Key First Nation</t>
  </si>
  <si>
    <t>Beardy's and Okemasis</t>
  </si>
  <si>
    <t>James Smith</t>
  </si>
  <si>
    <t>Muskoday First Nation</t>
  </si>
  <si>
    <t>Whitecap Dakota First Nation</t>
  </si>
  <si>
    <t>One Arrow</t>
  </si>
  <si>
    <t>Mistawasis</t>
  </si>
  <si>
    <t>Muskeg Lake</t>
  </si>
  <si>
    <t>Yellow Quill</t>
  </si>
  <si>
    <t>Kinistin Saulteaux Nation</t>
  </si>
  <si>
    <t>Carry The Kettle</t>
  </si>
  <si>
    <t>Little Black Bear</t>
  </si>
  <si>
    <t>Nekaneet</t>
  </si>
  <si>
    <t>Muscowpetung</t>
  </si>
  <si>
    <t>Okanese</t>
  </si>
  <si>
    <t>Pasqua First Nation #79</t>
  </si>
  <si>
    <t>Peepeekisis</t>
  </si>
  <si>
    <t>Piapot</t>
  </si>
  <si>
    <t>Standing Buffalo</t>
  </si>
  <si>
    <t>Star Blanket</t>
  </si>
  <si>
    <t>Wood Mountain</t>
  </si>
  <si>
    <t>Day Star</t>
  </si>
  <si>
    <t>Fishing Lake First Nation</t>
  </si>
  <si>
    <t>George Gordon First Nation</t>
  </si>
  <si>
    <t>Muskowekwan</t>
  </si>
  <si>
    <t>Kawacatoose</t>
  </si>
  <si>
    <t>Canoe Lake Cree First Nation</t>
  </si>
  <si>
    <t>Flying Dust First Nation</t>
  </si>
  <si>
    <t>Makwa Sahgaiehcan First Nation</t>
  </si>
  <si>
    <t>Ministikwan Lake Cree Nation/Island Lake First Nation</t>
  </si>
  <si>
    <t>Buffalo River Dene Nation</t>
  </si>
  <si>
    <t>Big Island Lake Cree Nation</t>
  </si>
  <si>
    <t>English River First Nation</t>
  </si>
  <si>
    <t>Clearwater River Dene</t>
  </si>
  <si>
    <t>Waterhen Lake</t>
  </si>
  <si>
    <t>Birch Narrows First Nation</t>
  </si>
  <si>
    <t>Big River</t>
  </si>
  <si>
    <t>Pelican Lake</t>
  </si>
  <si>
    <t>Ahtahkakoop</t>
  </si>
  <si>
    <t>Witchekan Lake</t>
  </si>
  <si>
    <t>Ocean Man</t>
  </si>
  <si>
    <t>Pheasant Rump Nakota</t>
  </si>
  <si>
    <t>Siksika Nation</t>
  </si>
  <si>
    <t>O'Chiese</t>
  </si>
  <si>
    <t>Tsuu T'ina Nation</t>
  </si>
  <si>
    <t>Chiniki</t>
  </si>
  <si>
    <t>Sunchild First Nation</t>
  </si>
  <si>
    <t>Blood</t>
  </si>
  <si>
    <t>Piikani Nation</t>
  </si>
  <si>
    <t>Alexis Nakota Sioux Nation</t>
  </si>
  <si>
    <t>Alexander</t>
  </si>
  <si>
    <t>Louis Bull</t>
  </si>
  <si>
    <t>Enoch Cree Nation #440</t>
  </si>
  <si>
    <t>Paul</t>
  </si>
  <si>
    <t>Montana</t>
  </si>
  <si>
    <t>Ermineskin Tribe</t>
  </si>
  <si>
    <t>Samson</t>
  </si>
  <si>
    <t>Beaver First Nation</t>
  </si>
  <si>
    <t>Tallcree</t>
  </si>
  <si>
    <t>Little Red River Cree Nation</t>
  </si>
  <si>
    <t>Both</t>
  </si>
  <si>
    <t>Dene Tha'</t>
  </si>
  <si>
    <t>Horse Lake First Nation</t>
  </si>
  <si>
    <t>Driftpile First Nation</t>
  </si>
  <si>
    <t>Duncan's First Nation</t>
  </si>
  <si>
    <t>Kapawe'no First Nation</t>
  </si>
  <si>
    <t>Lubicon Lake</t>
  </si>
  <si>
    <t>Sawridge</t>
  </si>
  <si>
    <t>Sturgeon Lake Cree Nation</t>
  </si>
  <si>
    <t>Sucker Creek</t>
  </si>
  <si>
    <t>Swan River First Nation</t>
  </si>
  <si>
    <t>Bigstone Cree Nation</t>
  </si>
  <si>
    <t>Whitefish Lake</t>
  </si>
  <si>
    <t>Beaver Lake Cree Nation</t>
  </si>
  <si>
    <t>Mikisew Cree First Nation</t>
  </si>
  <si>
    <t>Saddle Lake</t>
  </si>
  <si>
    <t>Athabasca Chipewyan First Nation</t>
  </si>
  <si>
    <t>Cold Lake First Nations</t>
  </si>
  <si>
    <t>Frog Lake</t>
  </si>
  <si>
    <t>Kehewin Cree Nation</t>
  </si>
  <si>
    <t>Fort McKay First Nation</t>
  </si>
  <si>
    <t>Fort McMurray #468 First Nation</t>
  </si>
  <si>
    <t>Heart Lake</t>
  </si>
  <si>
    <t>Chipewyan Prairie First Nation</t>
  </si>
  <si>
    <t>Stoney</t>
  </si>
  <si>
    <t>Loon River Cree</t>
  </si>
  <si>
    <t>Smith's Landing First Nation</t>
  </si>
  <si>
    <t xml:space="preserve">Peerless Trout First Nation </t>
  </si>
  <si>
    <t>Moricetown / Witset First Nation</t>
  </si>
  <si>
    <t>British Columbia</t>
  </si>
  <si>
    <t>Gitanmaax</t>
  </si>
  <si>
    <t>Kispiox</t>
  </si>
  <si>
    <t>Glen Vowell</t>
  </si>
  <si>
    <t>Hagwilget Village</t>
  </si>
  <si>
    <t>Gitsegukla</t>
  </si>
  <si>
    <t>Gitwangak</t>
  </si>
  <si>
    <t>Gitanyow</t>
  </si>
  <si>
    <t>Heiltsuk</t>
  </si>
  <si>
    <t>Nuxalk Nation</t>
  </si>
  <si>
    <t>Kitasoo</t>
  </si>
  <si>
    <t>Oweekeno/Wuikinuxv Nation</t>
  </si>
  <si>
    <t>Saulteau First Nations</t>
  </si>
  <si>
    <t>Fort Nelson First Nation</t>
  </si>
  <si>
    <t>Prophet River First Nation</t>
  </si>
  <si>
    <t>West Moberly First Nations</t>
  </si>
  <si>
    <t>Halfway River First Nation</t>
  </si>
  <si>
    <t>Blueberry River First Nations</t>
  </si>
  <si>
    <t>Doig River</t>
  </si>
  <si>
    <t>Tsleil-Waututh Nation</t>
  </si>
  <si>
    <t>Musqueam</t>
  </si>
  <si>
    <t>Sechelt</t>
  </si>
  <si>
    <t>Homalco</t>
  </si>
  <si>
    <t>Klahoose First Nation</t>
  </si>
  <si>
    <t xml:space="preserve">Tla'amin Nation/ Sliammon </t>
  </si>
  <si>
    <t>Squamish</t>
  </si>
  <si>
    <t>N'Quatqua</t>
  </si>
  <si>
    <t>Lil'wat Nation/ Mount Currie</t>
  </si>
  <si>
    <t>Aitchelitz</t>
  </si>
  <si>
    <t>Sts'ailes</t>
  </si>
  <si>
    <t>Kwikwetlem First Nation</t>
  </si>
  <si>
    <t>Douglas</t>
  </si>
  <si>
    <t>Skatin Nations</t>
  </si>
  <si>
    <t>Katzie</t>
  </si>
  <si>
    <t>Kwantlen First Nation</t>
  </si>
  <si>
    <t>Matsqui</t>
  </si>
  <si>
    <t>New Westminster</t>
  </si>
  <si>
    <t>Samahquam</t>
  </si>
  <si>
    <t>Scowlitz/Sq'éwlets</t>
  </si>
  <si>
    <t>Semiahmoo</t>
  </si>
  <si>
    <t>Shxwhá:y Village</t>
  </si>
  <si>
    <t>Skowkale</t>
  </si>
  <si>
    <t>Soowahlie</t>
  </si>
  <si>
    <t>Skwah</t>
  </si>
  <si>
    <t>Squiala First Nation</t>
  </si>
  <si>
    <t>Tzeachten</t>
  </si>
  <si>
    <t>Yakweakwioose</t>
  </si>
  <si>
    <t>Tsawwassen First Nation</t>
  </si>
  <si>
    <t>Sumas First Nation</t>
  </si>
  <si>
    <t>Leq' a: mel First Nation</t>
  </si>
  <si>
    <t>Kwaw-kwaw-Apilt</t>
  </si>
  <si>
    <t>Seabird Island</t>
  </si>
  <si>
    <t>Skawahlook First Nation</t>
  </si>
  <si>
    <t>Chawathil</t>
  </si>
  <si>
    <t>Cheam</t>
  </si>
  <si>
    <t>Popkum</t>
  </si>
  <si>
    <t>Peters</t>
  </si>
  <si>
    <t>Shxw'ow'hamel First Nation</t>
  </si>
  <si>
    <t>Union Bar</t>
  </si>
  <si>
    <t>Yale First Nation</t>
  </si>
  <si>
    <t>Bridge River</t>
  </si>
  <si>
    <t>Cayoose Creek</t>
  </si>
  <si>
    <t>Xaxli'p</t>
  </si>
  <si>
    <t>T'it'q'et</t>
  </si>
  <si>
    <t>Ts'kw'aylaxw First Nation</t>
  </si>
  <si>
    <t>Seton Lake/Tsal'alh</t>
  </si>
  <si>
    <t>Osoyoos</t>
  </si>
  <si>
    <t>Penticton</t>
  </si>
  <si>
    <t>Lower Similkameen</t>
  </si>
  <si>
    <t>Upper Similkameen</t>
  </si>
  <si>
    <t>Splatsin First Nation</t>
  </si>
  <si>
    <t>Westbank First Nation</t>
  </si>
  <si>
    <t>?aqam/ St. Mary's</t>
  </si>
  <si>
    <t>Tobacco Plains</t>
  </si>
  <si>
    <t>?Akisq'nuk First Nation</t>
  </si>
  <si>
    <t>Shuswap</t>
  </si>
  <si>
    <t>Lower Kootenay</t>
  </si>
  <si>
    <t>Lake Babine Nation</t>
  </si>
  <si>
    <t>Takla Lake First Nation</t>
  </si>
  <si>
    <t>Tsay Keh Dene</t>
  </si>
  <si>
    <t>Kwadacha</t>
  </si>
  <si>
    <t>Lheidli T'enneh</t>
  </si>
  <si>
    <t>Nadleh Whuten</t>
  </si>
  <si>
    <t>Stellat'en First Nation</t>
  </si>
  <si>
    <t>Nak'azdli</t>
  </si>
  <si>
    <t>Saik'uz First Nation</t>
  </si>
  <si>
    <t>Okanagan</t>
  </si>
  <si>
    <t>Tl'azt'en Nation</t>
  </si>
  <si>
    <t>McLeod Lake</t>
  </si>
  <si>
    <t>Burns Lake</t>
  </si>
  <si>
    <t>Cheslatta Carrier Nation</t>
  </si>
  <si>
    <t>Campbell River</t>
  </si>
  <si>
    <t>Cape Mudge</t>
  </si>
  <si>
    <t>K'ómoks First Nation</t>
  </si>
  <si>
    <t>Kwicksutaineuk-ah-kwaw-ah-mish</t>
  </si>
  <si>
    <t>Kwakiutl</t>
  </si>
  <si>
    <t>Gwawaenuk Tribe</t>
  </si>
  <si>
    <t>Kwiakah</t>
  </si>
  <si>
    <t>Mamalilikulla First Nation</t>
  </si>
  <si>
    <t>Mowachaht/Muchalaht</t>
  </si>
  <si>
    <t>Namgis First Nation</t>
  </si>
  <si>
    <t>Tlatlasikwala</t>
  </si>
  <si>
    <t>Quatsino</t>
  </si>
  <si>
    <t>Ehattesaht</t>
  </si>
  <si>
    <t>Da'naxda'xw First Nation</t>
  </si>
  <si>
    <t>Dzawada'enuxw First Nation/Tsawataineuk</t>
  </si>
  <si>
    <t>Tlowitsis Tribe</t>
  </si>
  <si>
    <t>Ka:'yu:'k't'h'/Che:k:tles7et'h' First Nations</t>
  </si>
  <si>
    <t>Nuchatlaht</t>
  </si>
  <si>
    <t>Beecher Bay</t>
  </si>
  <si>
    <t>Stz'uminus First Nation</t>
  </si>
  <si>
    <t>Cowichan</t>
  </si>
  <si>
    <t>Lake Cowichan First Nation</t>
  </si>
  <si>
    <t>Esquimalt</t>
  </si>
  <si>
    <t>Halalt</t>
  </si>
  <si>
    <t>Lyackson</t>
  </si>
  <si>
    <t>Malahat First Nation</t>
  </si>
  <si>
    <t>Snuneymuxw First Nation</t>
  </si>
  <si>
    <t>Nanoose First Nation</t>
  </si>
  <si>
    <t>Penelakut</t>
  </si>
  <si>
    <t>Qualicum First Nation</t>
  </si>
  <si>
    <t>Pauquachin</t>
  </si>
  <si>
    <t>Tsartlip</t>
  </si>
  <si>
    <t>Tsawout First Nation</t>
  </si>
  <si>
    <t>Tseycum</t>
  </si>
  <si>
    <t>Songhees First Nation</t>
  </si>
  <si>
    <t>T'Sou-ke First Nation</t>
  </si>
  <si>
    <t>Pacheedaht First Nation</t>
  </si>
  <si>
    <t>Ahousaht</t>
  </si>
  <si>
    <t>Tla-o-qui-aht First Nations</t>
  </si>
  <si>
    <t>Hesquiaht</t>
  </si>
  <si>
    <t>Ditidaht</t>
  </si>
  <si>
    <t>Huu-ay-aht First Nations</t>
  </si>
  <si>
    <t>Hupacasath First Nation</t>
  </si>
  <si>
    <t>Tseshaht</t>
  </si>
  <si>
    <t>Toquaht</t>
  </si>
  <si>
    <t>Uchucklesaht</t>
  </si>
  <si>
    <t>Ucluelet First Nation</t>
  </si>
  <si>
    <t>Old Massett Village Council</t>
  </si>
  <si>
    <t>Skidegate</t>
  </si>
  <si>
    <t>Nisga'a Village of Gingolx</t>
  </si>
  <si>
    <t>Gitxaala Nation</t>
  </si>
  <si>
    <t>Metlakatla</t>
  </si>
  <si>
    <t>Lax-kw'alaams</t>
  </si>
  <si>
    <t>Gitga'at First Nation/ Hartley Bay</t>
  </si>
  <si>
    <t>Haisla Nation</t>
  </si>
  <si>
    <t>Nisga'a Village of New Aiyansh</t>
  </si>
  <si>
    <t>Nisga'a Village of Laxgalt'sap</t>
  </si>
  <si>
    <t>Nisga'a Village of Gitwinksihlkw</t>
  </si>
  <si>
    <t>Kitselas</t>
  </si>
  <si>
    <t>Kitsumkalum</t>
  </si>
  <si>
    <t>Tahltan</t>
  </si>
  <si>
    <t>Iskut</t>
  </si>
  <si>
    <t>Adams Lake</t>
  </si>
  <si>
    <t>Ashcroft</t>
  </si>
  <si>
    <t>Bonaparte</t>
  </si>
  <si>
    <t>Skeetchestn</t>
  </si>
  <si>
    <t>Tk'emlúps te Secwépemc/ Kamloops</t>
  </si>
  <si>
    <t>Little Shuswap Lake</t>
  </si>
  <si>
    <t>Neskonlith</t>
  </si>
  <si>
    <t>Simpcw First Nation</t>
  </si>
  <si>
    <t>Oregon Jack Creek</t>
  </si>
  <si>
    <t>Coldwater</t>
  </si>
  <si>
    <t>Cook's Ferry</t>
  </si>
  <si>
    <t>Lower Nicola</t>
  </si>
  <si>
    <t>Nicomen</t>
  </si>
  <si>
    <t>Upper Nicola</t>
  </si>
  <si>
    <t>Shackan</t>
  </si>
  <si>
    <t>Nooaitch</t>
  </si>
  <si>
    <t>Boothroyd</t>
  </si>
  <si>
    <t>Boston Bar First Nation</t>
  </si>
  <si>
    <t>Whispering Pines/Clinton</t>
  </si>
  <si>
    <t>High Bar</t>
  </si>
  <si>
    <t>Kanaka Bar</t>
  </si>
  <si>
    <t>Lytton</t>
  </si>
  <si>
    <t>Siska</t>
  </si>
  <si>
    <t>Skuppah</t>
  </si>
  <si>
    <t>Spuzzum</t>
  </si>
  <si>
    <t>?Esdilagh First Nation</t>
  </si>
  <si>
    <t>Alexis Creek</t>
  </si>
  <si>
    <t>Esketemc</t>
  </si>
  <si>
    <t>Tl'etinqox-t'in Government Office</t>
  </si>
  <si>
    <t>Canim Lake</t>
  </si>
  <si>
    <t>Xeni Gwet'in First Nations Government</t>
  </si>
  <si>
    <t>Lhtako Dene Nation</t>
  </si>
  <si>
    <t>Soda Creek</t>
  </si>
  <si>
    <t>Yunesit'in Government/ Stone</t>
  </si>
  <si>
    <t>Toosey</t>
  </si>
  <si>
    <t>Williams Lake</t>
  </si>
  <si>
    <t>Nazko First Nation</t>
  </si>
  <si>
    <t>Lhoosk'uz Dene Nation/ Kluskus</t>
  </si>
  <si>
    <t>Ulkatcho</t>
  </si>
  <si>
    <t>Stswecem'c Xgat'tem First Nation</t>
  </si>
  <si>
    <t>Gwa'Sala-Nakwaxda'xw</t>
  </si>
  <si>
    <t>Wet'suwet'en First Nation</t>
  </si>
  <si>
    <t>Nee-Tahi-Buhn</t>
  </si>
  <si>
    <t>Yekooche</t>
  </si>
  <si>
    <t>Skin Tyee</t>
  </si>
  <si>
    <t>Infrastructure Requirements</t>
  </si>
  <si>
    <t>No</t>
  </si>
  <si>
    <t>Accommodation for Visiting Professionals</t>
  </si>
  <si>
    <t>Playground Accessibility Features</t>
  </si>
  <si>
    <t>Students in K-6</t>
  </si>
  <si>
    <t>Students in 7-12</t>
  </si>
  <si>
    <t>Mild/Moderate Students</t>
  </si>
  <si>
    <t>Severe Students</t>
  </si>
  <si>
    <t>Schools</t>
  </si>
  <si>
    <t>Full-Time Equivalents (FTEs)</t>
  </si>
  <si>
    <t>Yes</t>
  </si>
  <si>
    <t xml:space="preserve">Do school playgrounds lack accessibility features? </t>
  </si>
  <si>
    <t>Staffing Summary</t>
  </si>
  <si>
    <r>
      <t xml:space="preserve">Number of Additional Teacherages required beyond current </t>
    </r>
    <r>
      <rPr>
        <i/>
        <sz val="11"/>
        <color theme="1"/>
        <rFont val="Calibri"/>
        <family val="2"/>
        <scheme val="minor"/>
      </rPr>
      <t>Level of Service Standards and Management of Teacherages</t>
    </r>
  </si>
  <si>
    <t>First Nation School System Characteristics</t>
  </si>
  <si>
    <t>Additional Space Required for Inclusive Education Programming</t>
  </si>
  <si>
    <t>Is there sufficient space to accommodate Inclusive Education programming?</t>
  </si>
  <si>
    <t>This model generates estimates of the costs of providing Inclusive Education for First Nations communities across Canada.  The model is intended to provide an accurate estimate of costs of Inclusive Education, specific to each province and First Nation.
These cost estimates are based on data collected from First Nations and provincial school jurisdictions. Costs that depend on location are adjusted to account for the remoteness of each respective First 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</si>
</sst>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164" formatCode="_(&quot;$&quot;* #,##0.00_);_(&quot;$&quot;* \(#,##0.00\);_(&quot;$&quot;* &quot;-&quot;??_);_(@_)"/>
    <numFmt numFmtId="165" formatCode="&quot;$&quot;#,##0"/>
    <numFmt numFmtId="166" formatCode="0.000"/>
    <numFmt numFmtId="167" formatCode="0.0%"/>
    <numFmt numFmtId="168" formatCode="0.0"/>
  </numFmts>
  <fonts count="33"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sz val="16"/>
      <color theme="1"/>
      <name val="Calibri"/>
      <family val="2"/>
      <scheme val="minor"/>
    </font>
    <font>
      <sz val="11"/>
      <color theme="1"/>
      <name val="Calibri"/>
      <family val="2"/>
      <scheme val="minor"/>
    </font>
    <font>
      <sz val="11"/>
      <color theme="1"/>
      <name val="Calibri"/>
      <family val="2"/>
    </font>
    <font>
      <b/>
      <sz val="16"/>
      <color rgb="FFFFFFFF"/>
      <name val="Calibri"/>
      <family val="2"/>
    </font>
    <font>
      <sz val="11"/>
      <color rgb="FFFFFFFF"/>
      <name val="Calibri"/>
      <family val="2"/>
    </font>
    <font>
      <b/>
      <sz val="11"/>
      <color rgb="FF000000"/>
      <name val="Calibri"/>
      <family val="2"/>
    </font>
    <font>
      <b/>
      <sz val="14"/>
      <color rgb="FFFFFFFF"/>
      <name val="Calibri"/>
      <family val="2"/>
    </font>
    <font>
      <b/>
      <sz val="18"/>
      <color theme="1"/>
      <name val="Calibri"/>
      <family val="2"/>
      <scheme val="minor"/>
    </font>
    <font>
      <b/>
      <sz val="13"/>
      <color theme="1"/>
      <name val="Calibri"/>
      <family val="2"/>
      <scheme val="minor"/>
    </font>
    <font>
      <sz val="11"/>
      <color theme="1"/>
      <name val="Arial"/>
      <family val="2"/>
    </font>
    <font>
      <sz val="11"/>
      <color theme="4"/>
      <name val="Arial"/>
      <family val="2"/>
    </font>
    <font>
      <b/>
      <sz val="11"/>
      <color rgb="FFFF0000"/>
      <name val="Calibri"/>
      <family val="2"/>
      <scheme val="minor"/>
    </font>
    <font>
      <b/>
      <sz val="11"/>
      <color theme="5"/>
      <name val="Calibri"/>
      <family val="2"/>
      <scheme val="minor"/>
    </font>
    <font>
      <b/>
      <sz val="11"/>
      <color theme="9" tint="-0.249977111117893"/>
      <name val="Calibri"/>
      <family val="2"/>
      <scheme val="minor"/>
    </font>
    <font>
      <b/>
      <sz val="12"/>
      <color theme="1"/>
      <name val="Calibri"/>
      <family val="2"/>
      <scheme val="minor"/>
    </font>
    <font>
      <sz val="12"/>
      <color theme="1"/>
      <name val="Calibri"/>
      <family val="2"/>
      <scheme val="minor"/>
    </font>
    <font>
      <sz val="12"/>
      <color theme="1"/>
      <name val="Arial"/>
      <family val="2"/>
    </font>
    <font>
      <b/>
      <sz val="12"/>
      <color theme="1"/>
      <name val="Arial"/>
      <family val="2"/>
    </font>
    <font>
      <u/>
      <sz val="12"/>
      <color theme="10"/>
      <name val="Calibri"/>
      <family val="2"/>
      <scheme val="minor"/>
    </font>
    <font>
      <sz val="11"/>
      <name val="Calibri"/>
      <family val="2"/>
      <scheme val="minor"/>
    </font>
    <font>
      <b/>
      <sz val="14"/>
      <color theme="1"/>
      <name val="Calibri"/>
      <family val="2"/>
      <scheme val="minor"/>
    </font>
    <font>
      <i/>
      <sz val="11"/>
      <color theme="1"/>
      <name val="Calibri"/>
      <family val="2"/>
      <scheme val="minor"/>
    </font>
    <font>
      <sz val="11"/>
      <color rgb="FF000000"/>
      <name val="Calibri"/>
      <family val="2"/>
    </font>
    <font>
      <b/>
      <sz val="10"/>
      <color rgb="FF000000"/>
      <name val="Segoe UI Semilight"/>
      <family val="2"/>
    </font>
    <font>
      <sz val="10"/>
      <color rgb="FF000000"/>
      <name val="Segoe UI Semilight"/>
      <family val="2"/>
    </font>
    <font>
      <sz val="12"/>
      <name val="Calibri"/>
      <family val="2"/>
      <scheme val="minor"/>
    </font>
    <font>
      <b/>
      <sz val="12"/>
      <name val="Calibri"/>
      <family val="2"/>
      <scheme val="minor"/>
    </font>
    <font>
      <sz val="8"/>
      <name val="Calibri"/>
      <family val="2"/>
      <scheme val="minor"/>
    </font>
    <font>
      <b/>
      <sz val="16"/>
      <color theme="0"/>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C6E0B4"/>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79998168889431442"/>
        <bgColor indexed="64"/>
      </patternFill>
    </fill>
    <fill>
      <patternFill patternType="solid">
        <fgColor rgb="FFC00000"/>
        <bgColor rgb="FF000000"/>
      </patternFill>
    </fill>
    <fill>
      <patternFill patternType="solid">
        <fgColor rgb="FFE2EFDA"/>
        <bgColor rgb="FF000000"/>
      </patternFill>
    </fill>
    <fill>
      <patternFill patternType="solid">
        <fgColor rgb="FFD9D9D9"/>
        <bgColor rgb="FF000000"/>
      </patternFill>
    </fill>
    <fill>
      <patternFill patternType="solid">
        <fgColor rgb="FF757171"/>
        <bgColor rgb="FF000000"/>
      </patternFill>
    </fill>
    <fill>
      <patternFill patternType="solid">
        <fgColor rgb="FFE7E6E6"/>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2"/>
        <bgColor indexed="64"/>
      </patternFill>
    </fill>
    <fill>
      <patternFill patternType="solid">
        <fgColor rgb="FFC00000"/>
        <bgColor indexed="64"/>
      </patternFill>
    </fill>
    <fill>
      <patternFill patternType="solid">
        <fgColor theme="6"/>
        <bgColor indexed="64"/>
      </patternFill>
    </fill>
    <fill>
      <patternFill patternType="solid">
        <fgColor theme="6" tint="0.79998168889431442"/>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xf numFmtId="9" fontId="5" fillId="0" borderId="0" applyFont="0" applyFill="0" applyBorder="0" applyAlignment="0" applyProtection="0"/>
    <xf numFmtId="164" fontId="5" fillId="0" borderId="0" applyFont="0" applyFill="0" applyBorder="0" applyAlignment="0" applyProtection="0"/>
  </cellStyleXfs>
  <cellXfs count="184">
    <xf numFmtId="0" fontId="0" fillId="0" borderId="0" xfId="0"/>
    <xf numFmtId="0" fontId="0" fillId="2" borderId="0" xfId="0" applyFill="1"/>
    <xf numFmtId="10" fontId="0" fillId="2" borderId="0" xfId="0" applyNumberFormat="1" applyFill="1"/>
    <xf numFmtId="3" fontId="0" fillId="2" borderId="0" xfId="0" applyNumberFormat="1" applyFill="1"/>
    <xf numFmtId="0" fontId="1" fillId="2" borderId="0" xfId="0" applyFont="1" applyFill="1" applyAlignment="1">
      <alignment wrapText="1"/>
    </xf>
    <xf numFmtId="8" fontId="3" fillId="4" borderId="0" xfId="0" applyNumberFormat="1" applyFont="1" applyFill="1"/>
    <xf numFmtId="0" fontId="2" fillId="0" borderId="0" xfId="1"/>
    <xf numFmtId="0" fontId="1" fillId="2" borderId="0" xfId="0" applyFont="1" applyFill="1"/>
    <xf numFmtId="0" fontId="4" fillId="2" borderId="0" xfId="0" applyFont="1" applyFill="1"/>
    <xf numFmtId="0" fontId="4" fillId="2" borderId="1" xfId="0" applyFont="1" applyFill="1" applyBorder="1" applyAlignment="1">
      <alignment horizontal="left" indent="1"/>
    </xf>
    <xf numFmtId="0" fontId="4" fillId="2" borderId="2" xfId="0" applyFont="1" applyFill="1" applyBorder="1" applyAlignment="1">
      <alignment horizontal="left" indent="1"/>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1" fillId="2" borderId="4" xfId="0" applyFont="1" applyFill="1" applyBorder="1" applyAlignment="1">
      <alignment horizontal="left" indent="4"/>
    </xf>
    <xf numFmtId="0" fontId="0" fillId="2" borderId="0" xfId="0" applyFill="1" applyAlignment="1">
      <alignment horizontal="left" indent="4"/>
    </xf>
    <xf numFmtId="0" fontId="0" fillId="2" borderId="6" xfId="0" applyFill="1" applyBorder="1" applyAlignment="1">
      <alignment horizontal="left" indent="4"/>
    </xf>
    <xf numFmtId="0" fontId="0" fillId="2" borderId="7" xfId="0" applyFill="1" applyBorder="1"/>
    <xf numFmtId="0" fontId="2" fillId="0" borderId="0" xfId="1" applyAlignment="1"/>
    <xf numFmtId="0" fontId="3" fillId="3" borderId="0" xfId="0" applyFont="1" applyFill="1"/>
    <xf numFmtId="0" fontId="1" fillId="2" borderId="0" xfId="0" applyFont="1" applyFill="1" applyAlignment="1">
      <alignment horizontal="center"/>
    </xf>
    <xf numFmtId="0" fontId="8" fillId="9" borderId="0" xfId="0" applyFont="1" applyFill="1" applyAlignment="1">
      <alignment vertical="center"/>
    </xf>
    <xf numFmtId="0" fontId="9" fillId="0" borderId="8" xfId="0" applyFont="1" applyBorder="1" applyAlignment="1">
      <alignment horizontal="left" vertical="center" wrapText="1" indent="2"/>
    </xf>
    <xf numFmtId="0" fontId="8" fillId="12" borderId="0" xfId="0" applyFont="1" applyFill="1"/>
    <xf numFmtId="0" fontId="9" fillId="0" borderId="11" xfId="0" applyFont="1" applyBorder="1" applyAlignment="1">
      <alignment horizontal="left" vertical="center" wrapText="1" indent="2"/>
    </xf>
    <xf numFmtId="0" fontId="13" fillId="5" borderId="0" xfId="0" applyFont="1" applyFill="1"/>
    <xf numFmtId="0" fontId="11" fillId="2" borderId="0" xfId="0" applyFont="1" applyFill="1" applyAlignment="1">
      <alignment horizontal="left" indent="6"/>
    </xf>
    <xf numFmtId="0" fontId="12" fillId="2" borderId="0" xfId="0" applyFont="1" applyFill="1" applyAlignment="1">
      <alignment horizontal="left" indent="6"/>
    </xf>
    <xf numFmtId="0" fontId="1" fillId="2" borderId="12" xfId="0" applyFont="1" applyFill="1" applyBorder="1" applyAlignment="1">
      <alignment vertical="center"/>
    </xf>
    <xf numFmtId="0" fontId="1" fillId="2" borderId="13" xfId="0" applyFont="1" applyFill="1" applyBorder="1" applyAlignment="1">
      <alignment horizontal="left" vertical="center"/>
    </xf>
    <xf numFmtId="0" fontId="1" fillId="2" borderId="13" xfId="0" applyFont="1" applyFill="1" applyBorder="1"/>
    <xf numFmtId="0" fontId="1" fillId="2" borderId="14" xfId="0" applyFont="1" applyFill="1" applyBorder="1"/>
    <xf numFmtId="0" fontId="13" fillId="6" borderId="0" xfId="0" applyFont="1" applyFill="1"/>
    <xf numFmtId="0" fontId="14" fillId="7" borderId="0" xfId="0" applyFont="1" applyFill="1"/>
    <xf numFmtId="8" fontId="3" fillId="2" borderId="0" xfId="0" applyNumberFormat="1" applyFont="1" applyFill="1"/>
    <xf numFmtId="0" fontId="2" fillId="0" borderId="11" xfId="1" applyBorder="1" applyAlignment="1">
      <alignment horizontal="center" vertical="center"/>
    </xf>
    <xf numFmtId="0" fontId="1" fillId="0" borderId="0" xfId="0" applyFont="1" applyAlignment="1">
      <alignment vertical="center" wrapText="1"/>
    </xf>
    <xf numFmtId="0" fontId="1" fillId="0" borderId="0" xfId="0" applyFont="1"/>
    <xf numFmtId="0" fontId="18" fillId="2" borderId="0" xfId="0" applyFont="1" applyFill="1" applyAlignment="1">
      <alignment horizontal="left"/>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0" xfId="0" applyFont="1" applyFill="1"/>
    <xf numFmtId="0" fontId="19" fillId="3" borderId="0" xfId="0" applyFont="1" applyFill="1"/>
    <xf numFmtId="9" fontId="19" fillId="6" borderId="0" xfId="0" applyNumberFormat="1" applyFont="1" applyFill="1"/>
    <xf numFmtId="165" fontId="19" fillId="6" borderId="0" xfId="0" applyNumberFormat="1" applyFont="1" applyFill="1"/>
    <xf numFmtId="165" fontId="19" fillId="5" borderId="0" xfId="0" applyNumberFormat="1" applyFont="1" applyFill="1"/>
    <xf numFmtId="165" fontId="18" fillId="7" borderId="0" xfId="0" applyNumberFormat="1" applyFont="1" applyFill="1"/>
    <xf numFmtId="0" fontId="19" fillId="2" borderId="0" xfId="0" applyFont="1" applyFill="1"/>
    <xf numFmtId="0" fontId="19" fillId="5" borderId="0" xfId="0" applyFont="1" applyFill="1"/>
    <xf numFmtId="0" fontId="20" fillId="2" borderId="0" xfId="0" applyFont="1" applyFill="1"/>
    <xf numFmtId="0" fontId="21" fillId="2" borderId="0" xfId="0" applyFont="1" applyFill="1" applyAlignment="1">
      <alignment horizontal="center" vertical="top" wrapText="1"/>
    </xf>
    <xf numFmtId="10" fontId="20" fillId="6" borderId="0" xfId="0" applyNumberFormat="1" applyFont="1" applyFill="1"/>
    <xf numFmtId="6" fontId="20" fillId="6" borderId="0" xfId="0" applyNumberFormat="1" applyFont="1" applyFill="1"/>
    <xf numFmtId="10" fontId="20" fillId="6" borderId="0" xfId="2" applyNumberFormat="1" applyFont="1" applyFill="1"/>
    <xf numFmtId="0" fontId="22" fillId="2" borderId="0" xfId="1" applyFont="1" applyFill="1"/>
    <xf numFmtId="166" fontId="19" fillId="2" borderId="0" xfId="0" applyNumberFormat="1" applyFont="1" applyFill="1"/>
    <xf numFmtId="2" fontId="19" fillId="2" borderId="0" xfId="0" applyNumberFormat="1" applyFont="1" applyFill="1"/>
    <xf numFmtId="0" fontId="19" fillId="6" borderId="0" xfId="0" applyFont="1" applyFill="1"/>
    <xf numFmtId="0" fontId="19" fillId="7" borderId="0" xfId="0" applyFont="1" applyFill="1"/>
    <xf numFmtId="17" fontId="19" fillId="2" borderId="0" xfId="0" applyNumberFormat="1" applyFont="1" applyFill="1"/>
    <xf numFmtId="0" fontId="2" fillId="0" borderId="11" xfId="1" applyBorder="1" applyAlignment="1">
      <alignment horizontal="left" vertical="center" wrapText="1"/>
    </xf>
    <xf numFmtId="0" fontId="2" fillId="0" borderId="11" xfId="1" applyBorder="1" applyAlignment="1">
      <alignment horizontal="left" vertical="center"/>
    </xf>
    <xf numFmtId="165" fontId="0" fillId="3" borderId="0" xfId="0" applyNumberFormat="1" applyFill="1"/>
    <xf numFmtId="6" fontId="3" fillId="3" borderId="0" xfId="0" applyNumberFormat="1" applyFont="1" applyFill="1"/>
    <xf numFmtId="6" fontId="3" fillId="4" borderId="0" xfId="0" applyNumberFormat="1" applyFont="1" applyFill="1"/>
    <xf numFmtId="2" fontId="19" fillId="3" borderId="0" xfId="0" applyNumberFormat="1" applyFont="1" applyFill="1"/>
    <xf numFmtId="0" fontId="2" fillId="2" borderId="0" xfId="1" applyFill="1" applyBorder="1" applyAlignment="1">
      <alignment horizontal="left" vertical="center"/>
    </xf>
    <xf numFmtId="0" fontId="2" fillId="2" borderId="0" xfId="1" applyFill="1" applyBorder="1" applyAlignment="1">
      <alignment horizontal="left" vertical="center" wrapText="1"/>
    </xf>
    <xf numFmtId="165" fontId="0" fillId="6" borderId="0" xfId="0" applyNumberFormat="1" applyFill="1"/>
    <xf numFmtId="0" fontId="0" fillId="3" borderId="0" xfId="0" applyFill="1"/>
    <xf numFmtId="0" fontId="23" fillId="2" borderId="0" xfId="1" applyFont="1" applyFill="1" applyBorder="1" applyAlignment="1">
      <alignment horizontal="left" vertical="center" wrapText="1"/>
    </xf>
    <xf numFmtId="0" fontId="21" fillId="2" borderId="0" xfId="0" applyFont="1" applyFill="1" applyAlignment="1">
      <alignment horizontal="center" vertical="center" wrapText="1"/>
    </xf>
    <xf numFmtId="165" fontId="19" fillId="2" borderId="0" xfId="0" applyNumberFormat="1" applyFont="1" applyFill="1"/>
    <xf numFmtId="1" fontId="0" fillId="8" borderId="11" xfId="0" applyNumberFormat="1" applyFill="1" applyBorder="1"/>
    <xf numFmtId="0" fontId="24" fillId="2" borderId="0" xfId="0" applyFont="1" applyFill="1" applyAlignment="1">
      <alignment horizontal="left"/>
    </xf>
    <xf numFmtId="165" fontId="0" fillId="2" borderId="0" xfId="0" applyNumberFormat="1" applyFill="1"/>
    <xf numFmtId="0" fontId="0" fillId="2" borderId="0" xfId="0" applyFill="1" applyAlignment="1">
      <alignment horizontal="left" indent="2"/>
    </xf>
    <xf numFmtId="6" fontId="0" fillId="2" borderId="0" xfId="0" applyNumberFormat="1" applyFill="1"/>
    <xf numFmtId="6" fontId="0" fillId="3" borderId="0" xfId="0" applyNumberFormat="1" applyFill="1"/>
    <xf numFmtId="6" fontId="20" fillId="2" borderId="0" xfId="0" applyNumberFormat="1" applyFont="1" applyFill="1"/>
    <xf numFmtId="0" fontId="1" fillId="2" borderId="0" xfId="0" applyFont="1" applyFill="1" applyAlignment="1">
      <alignment horizontal="right"/>
    </xf>
    <xf numFmtId="0" fontId="0" fillId="5" borderId="0" xfId="0" applyFill="1"/>
    <xf numFmtId="0" fontId="1" fillId="6" borderId="0" xfId="0" applyFont="1" applyFill="1" applyAlignment="1">
      <alignment horizontal="right"/>
    </xf>
    <xf numFmtId="0" fontId="18" fillId="2" borderId="0" xfId="0" applyFont="1" applyFill="1" applyAlignment="1">
      <alignment horizontal="right"/>
    </xf>
    <xf numFmtId="165" fontId="18" fillId="2" borderId="0" xfId="0" applyNumberFormat="1" applyFont="1" applyFill="1"/>
    <xf numFmtId="0" fontId="1" fillId="2" borderId="0" xfId="0" applyFont="1" applyFill="1" applyAlignment="1">
      <alignment horizontal="left"/>
    </xf>
    <xf numFmtId="165" fontId="1" fillId="7" borderId="0" xfId="0" applyNumberFormat="1" applyFont="1" applyFill="1"/>
    <xf numFmtId="6" fontId="1" fillId="2" borderId="13" xfId="0" applyNumberFormat="1" applyFont="1" applyFill="1" applyBorder="1"/>
    <xf numFmtId="0" fontId="25" fillId="2" borderId="0" xfId="0" applyFont="1" applyFill="1"/>
    <xf numFmtId="6" fontId="25" fillId="2" borderId="0" xfId="0" applyNumberFormat="1" applyFont="1" applyFill="1"/>
    <xf numFmtId="9" fontId="0" fillId="2" borderId="0" xfId="2" applyFont="1" applyFill="1"/>
    <xf numFmtId="6" fontId="1" fillId="2" borderId="0" xfId="0" applyNumberFormat="1" applyFont="1" applyFill="1"/>
    <xf numFmtId="0" fontId="18" fillId="2" borderId="17" xfId="0" applyFont="1" applyFill="1" applyBorder="1" applyAlignment="1">
      <alignment vertical="center"/>
    </xf>
    <xf numFmtId="0" fontId="18" fillId="2" borderId="17" xfId="0" applyFont="1" applyFill="1" applyBorder="1" applyAlignment="1">
      <alignment horizontal="right" vertical="center"/>
    </xf>
    <xf numFmtId="1" fontId="0" fillId="2" borderId="0" xfId="0" applyNumberFormat="1" applyFill="1"/>
    <xf numFmtId="165" fontId="1" fillId="2" borderId="0" xfId="0" applyNumberFormat="1" applyFont="1" applyFill="1"/>
    <xf numFmtId="0" fontId="0" fillId="2" borderId="0" xfId="0" applyFill="1" applyAlignment="1">
      <alignment horizontal="left" indent="3"/>
    </xf>
    <xf numFmtId="1" fontId="0" fillId="0" borderId="0" xfId="0" applyNumberFormat="1"/>
    <xf numFmtId="165" fontId="0" fillId="5" borderId="0" xfId="0" applyNumberFormat="1" applyFill="1"/>
    <xf numFmtId="1" fontId="0" fillId="3" borderId="0" xfId="0" applyNumberFormat="1" applyFill="1"/>
    <xf numFmtId="165" fontId="0" fillId="3" borderId="0" xfId="0" applyNumberFormat="1" applyFill="1" applyAlignment="1">
      <alignment horizontal="right"/>
    </xf>
    <xf numFmtId="0" fontId="27" fillId="13" borderId="19" xfId="0" applyFont="1" applyFill="1" applyBorder="1" applyAlignment="1">
      <alignment horizontal="justify" vertical="center" wrapText="1"/>
    </xf>
    <xf numFmtId="0" fontId="27" fillId="13" borderId="20" xfId="0" applyFont="1" applyFill="1" applyBorder="1" applyAlignment="1">
      <alignment horizontal="justify" vertical="center" wrapText="1"/>
    </xf>
    <xf numFmtId="0" fontId="28" fillId="0" borderId="21" xfId="0" applyFont="1" applyBorder="1" applyAlignment="1">
      <alignment horizontal="justify" vertical="center" wrapText="1"/>
    </xf>
    <xf numFmtId="0" fontId="28" fillId="0" borderId="7" xfId="0" applyFont="1" applyBorder="1" applyAlignment="1">
      <alignment horizontal="justify" vertical="center" wrapText="1"/>
    </xf>
    <xf numFmtId="6" fontId="28" fillId="0" borderId="7" xfId="0" applyNumberFormat="1" applyFont="1" applyBorder="1" applyAlignment="1">
      <alignment horizontal="justify" vertical="center" wrapText="1"/>
    </xf>
    <xf numFmtId="2" fontId="29" fillId="3" borderId="0" xfId="0" applyNumberFormat="1" applyFont="1" applyFill="1"/>
    <xf numFmtId="0" fontId="0" fillId="2" borderId="6" xfId="0" applyFill="1" applyBorder="1"/>
    <xf numFmtId="1" fontId="21" fillId="2" borderId="0" xfId="0" applyNumberFormat="1" applyFont="1" applyFill="1" applyAlignment="1">
      <alignment horizontal="center" vertical="center" wrapText="1"/>
    </xf>
    <xf numFmtId="1" fontId="0" fillId="14" borderId="11" xfId="0" applyNumberFormat="1" applyFill="1" applyBorder="1"/>
    <xf numFmtId="0" fontId="0" fillId="0" borderId="0" xfId="0" applyAlignment="1">
      <alignment horizontal="left"/>
    </xf>
    <xf numFmtId="0" fontId="7" fillId="9" borderId="0" xfId="0" applyFont="1" applyFill="1" applyAlignment="1">
      <alignment horizontal="left" vertical="center" wrapText="1"/>
    </xf>
    <xf numFmtId="0" fontId="10" fillId="12" borderId="10" xfId="0" applyFont="1" applyFill="1" applyBorder="1" applyAlignment="1">
      <alignment horizontal="left" vertical="center" wrapText="1"/>
    </xf>
    <xf numFmtId="1" fontId="0" fillId="15" borderId="0" xfId="0" applyNumberFormat="1" applyFill="1"/>
    <xf numFmtId="2" fontId="0" fillId="15" borderId="0" xfId="0" applyNumberFormat="1" applyFill="1"/>
    <xf numFmtId="0" fontId="0" fillId="3" borderId="0" xfId="0" applyFill="1" applyAlignment="1">
      <alignment horizontal="right"/>
    </xf>
    <xf numFmtId="0" fontId="0" fillId="5" borderId="0" xfId="0" applyFill="1" applyAlignment="1">
      <alignment horizontal="right"/>
    </xf>
    <xf numFmtId="0" fontId="19" fillId="0" borderId="0" xfId="0" applyFont="1" applyAlignment="1">
      <alignment vertical="top" wrapText="1"/>
    </xf>
    <xf numFmtId="0" fontId="29" fillId="0" borderId="0" xfId="0" applyFont="1" applyAlignment="1">
      <alignment vertical="top" wrapText="1"/>
    </xf>
    <xf numFmtId="0" fontId="6" fillId="10" borderId="11" xfId="0" applyFont="1" applyFill="1" applyBorder="1" applyAlignment="1">
      <alignment horizontal="center" vertical="center"/>
    </xf>
    <xf numFmtId="0" fontId="6" fillId="10" borderId="11" xfId="0" applyFont="1" applyFill="1" applyBorder="1" applyAlignment="1">
      <alignment horizontal="center" vertical="center" wrapText="1"/>
    </xf>
    <xf numFmtId="2" fontId="6" fillId="11" borderId="11" xfId="0" applyNumberFormat="1" applyFont="1" applyFill="1" applyBorder="1" applyAlignment="1">
      <alignment horizontal="right" vertical="center"/>
    </xf>
    <xf numFmtId="167" fontId="6" fillId="11" borderId="11" xfId="2" applyNumberFormat="1" applyFont="1" applyFill="1" applyBorder="1" applyAlignment="1">
      <alignment horizontal="right" vertical="center"/>
    </xf>
    <xf numFmtId="0" fontId="6" fillId="11" borderId="11" xfId="0" applyFont="1" applyFill="1" applyBorder="1" applyAlignment="1">
      <alignment horizontal="right" vertical="center"/>
    </xf>
    <xf numFmtId="0" fontId="1" fillId="16" borderId="0" xfId="0" applyFont="1" applyFill="1"/>
    <xf numFmtId="165" fontId="1" fillId="16" borderId="0" xfId="0" applyNumberFormat="1" applyFont="1" applyFill="1"/>
    <xf numFmtId="0" fontId="1" fillId="2" borderId="13" xfId="0" applyFont="1" applyFill="1" applyBorder="1" applyAlignment="1">
      <alignment horizontal="left"/>
    </xf>
    <xf numFmtId="166" fontId="19" fillId="2" borderId="11" xfId="0" applyNumberFormat="1" applyFont="1" applyFill="1" applyBorder="1" applyAlignment="1">
      <alignment horizontal="center"/>
    </xf>
    <xf numFmtId="2" fontId="19" fillId="2" borderId="11" xfId="0" applyNumberFormat="1" applyFont="1" applyFill="1" applyBorder="1" applyAlignment="1">
      <alignment horizontal="center"/>
    </xf>
    <xf numFmtId="0" fontId="18" fillId="2" borderId="11" xfId="0" applyFont="1" applyFill="1" applyBorder="1"/>
    <xf numFmtId="0" fontId="19" fillId="2" borderId="11" xfId="0" applyFont="1" applyFill="1" applyBorder="1"/>
    <xf numFmtId="166" fontId="19" fillId="2" borderId="11" xfId="0" applyNumberFormat="1" applyFont="1" applyFill="1" applyBorder="1"/>
    <xf numFmtId="2" fontId="19" fillId="2" borderId="11" xfId="0" applyNumberFormat="1" applyFont="1" applyFill="1" applyBorder="1"/>
    <xf numFmtId="0" fontId="18" fillId="2" borderId="11" xfId="0" applyFont="1" applyFill="1" applyBorder="1" applyAlignment="1">
      <alignment horizontal="center"/>
    </xf>
    <xf numFmtId="17" fontId="18" fillId="2" borderId="11" xfId="0" applyNumberFormat="1" applyFont="1" applyFill="1" applyBorder="1"/>
    <xf numFmtId="0" fontId="0" fillId="2" borderId="11" xfId="0" applyFill="1" applyBorder="1"/>
    <xf numFmtId="0" fontId="18" fillId="2" borderId="12" xfId="0" applyFont="1" applyFill="1" applyBorder="1"/>
    <xf numFmtId="0" fontId="19" fillId="2" borderId="17" xfId="0" applyFont="1" applyFill="1" applyBorder="1"/>
    <xf numFmtId="0" fontId="0" fillId="2" borderId="11" xfId="0" applyFill="1" applyBorder="1" applyAlignment="1">
      <alignment wrapText="1"/>
    </xf>
    <xf numFmtId="0" fontId="19" fillId="2" borderId="22" xfId="0" applyFont="1" applyFill="1" applyBorder="1"/>
    <xf numFmtId="2" fontId="19" fillId="2" borderId="22" xfId="0" applyNumberFormat="1" applyFont="1" applyFill="1" applyBorder="1"/>
    <xf numFmtId="0" fontId="18" fillId="2" borderId="17" xfId="0" applyFont="1" applyFill="1" applyBorder="1"/>
    <xf numFmtId="0" fontId="18" fillId="2" borderId="11" xfId="0" applyFont="1" applyFill="1" applyBorder="1" applyAlignment="1">
      <alignment horizontal="center" vertical="center"/>
    </xf>
    <xf numFmtId="166" fontId="19" fillId="2" borderId="11" xfId="0" applyNumberFormat="1" applyFont="1" applyFill="1" applyBorder="1" applyAlignment="1">
      <alignment horizontal="left" vertical="center" wrapText="1"/>
    </xf>
    <xf numFmtId="166" fontId="19" fillId="2" borderId="11" xfId="0" applyNumberFormat="1" applyFont="1" applyFill="1" applyBorder="1" applyAlignment="1">
      <alignment horizontal="left" vertical="center"/>
    </xf>
    <xf numFmtId="0" fontId="19" fillId="2" borderId="11" xfId="0" applyFont="1" applyFill="1" applyBorder="1" applyAlignment="1">
      <alignment horizontal="left" vertical="center"/>
    </xf>
    <xf numFmtId="0" fontId="19" fillId="2" borderId="11" xfId="0" applyFont="1" applyFill="1" applyBorder="1" applyAlignment="1">
      <alignment horizontal="left" vertical="center" wrapText="1"/>
    </xf>
    <xf numFmtId="165" fontId="0" fillId="2" borderId="17" xfId="0" applyNumberFormat="1" applyFill="1" applyBorder="1"/>
    <xf numFmtId="165" fontId="1" fillId="2" borderId="13" xfId="0" applyNumberFormat="1" applyFont="1" applyFill="1" applyBorder="1"/>
    <xf numFmtId="0" fontId="1" fillId="2" borderId="0" xfId="0" applyFont="1" applyFill="1" applyAlignment="1">
      <alignment horizontal="left" vertical="center"/>
    </xf>
    <xf numFmtId="0" fontId="0" fillId="0" borderId="0" xfId="0" applyAlignment="1">
      <alignment horizontal="left" indent="2"/>
    </xf>
    <xf numFmtId="0" fontId="18" fillId="0" borderId="0" xfId="0" applyFont="1"/>
    <xf numFmtId="168" fontId="19" fillId="2" borderId="0" xfId="0" applyNumberFormat="1" applyFont="1" applyFill="1"/>
    <xf numFmtId="168" fontId="19" fillId="18" borderId="0" xfId="0" applyNumberFormat="1" applyFont="1" applyFill="1"/>
    <xf numFmtId="0" fontId="0" fillId="8" borderId="11" xfId="0" applyFill="1" applyBorder="1" applyAlignment="1">
      <alignment horizontal="right"/>
    </xf>
    <xf numFmtId="9" fontId="0" fillId="8" borderId="11" xfId="0" applyNumberFormat="1" applyFill="1" applyBorder="1" applyAlignment="1">
      <alignment horizontal="right"/>
    </xf>
    <xf numFmtId="0" fontId="26" fillId="2" borderId="0" xfId="0" applyFont="1" applyFill="1" applyAlignment="1">
      <alignment horizontal="left" vertical="center" wrapText="1"/>
    </xf>
    <xf numFmtId="0" fontId="1" fillId="19" borderId="17" xfId="0" applyFont="1" applyFill="1" applyBorder="1"/>
    <xf numFmtId="0" fontId="1" fillId="19" borderId="17" xfId="0" applyFont="1" applyFill="1" applyBorder="1" applyAlignment="1">
      <alignment horizontal="center"/>
    </xf>
    <xf numFmtId="0" fontId="1" fillId="19" borderId="17" xfId="0" applyFont="1" applyFill="1" applyBorder="1" applyAlignment="1">
      <alignment horizontal="right"/>
    </xf>
    <xf numFmtId="0" fontId="0" fillId="2" borderId="0" xfId="0" applyFill="1" applyAlignment="1">
      <alignment wrapText="1"/>
    </xf>
    <xf numFmtId="0" fontId="0" fillId="2" borderId="0" xfId="0" applyFill="1" applyAlignment="1">
      <alignment horizontal="right" vertical="center"/>
    </xf>
    <xf numFmtId="0" fontId="0" fillId="2" borderId="10" xfId="0" applyFill="1" applyBorder="1" applyAlignment="1">
      <alignment horizontal="left" vertical="top" wrapText="1" indent="3"/>
    </xf>
    <xf numFmtId="0" fontId="0" fillId="2" borderId="0" xfId="0" applyFill="1" applyAlignment="1">
      <alignment horizontal="left" vertical="top" wrapText="1" indent="3"/>
    </xf>
    <xf numFmtId="0" fontId="0" fillId="2" borderId="15" xfId="0" applyFill="1" applyBorder="1" applyAlignment="1">
      <alignment horizontal="left" vertical="top" wrapText="1" indent="3"/>
    </xf>
    <xf numFmtId="0" fontId="0" fillId="2" borderId="16" xfId="0" applyFill="1" applyBorder="1" applyAlignment="1">
      <alignment horizontal="left" vertical="top" wrapText="1" indent="3"/>
    </xf>
    <xf numFmtId="0" fontId="0" fillId="2" borderId="17" xfId="0" applyFill="1" applyBorder="1" applyAlignment="1">
      <alignment horizontal="left" vertical="top" wrapText="1" indent="3"/>
    </xf>
    <xf numFmtId="0" fontId="0" fillId="2" borderId="18" xfId="0" applyFill="1" applyBorder="1" applyAlignment="1">
      <alignment horizontal="left" vertical="top" wrapText="1" indent="3"/>
    </xf>
    <xf numFmtId="0" fontId="1" fillId="2" borderId="12" xfId="0" applyFont="1" applyFill="1" applyBorder="1" applyAlignment="1">
      <alignment horizontal="left" vertical="top" wrapText="1" indent="1"/>
    </xf>
    <xf numFmtId="0" fontId="1" fillId="2" borderId="13" xfId="0" applyFont="1" applyFill="1" applyBorder="1" applyAlignment="1">
      <alignment horizontal="left" vertical="top" wrapText="1" indent="1"/>
    </xf>
    <xf numFmtId="0" fontId="1" fillId="2" borderId="14" xfId="0" applyFont="1" applyFill="1" applyBorder="1" applyAlignment="1">
      <alignment horizontal="left" vertical="top" wrapText="1" indent="1"/>
    </xf>
    <xf numFmtId="0" fontId="1" fillId="2" borderId="10" xfId="0" applyFont="1" applyFill="1" applyBorder="1" applyAlignment="1">
      <alignment horizontal="left" vertical="top" wrapText="1" indent="1"/>
    </xf>
    <xf numFmtId="0" fontId="1" fillId="2" borderId="0" xfId="0" applyFont="1" applyFill="1" applyAlignment="1">
      <alignment horizontal="left" vertical="top" wrapText="1" indent="1"/>
    </xf>
    <xf numFmtId="0" fontId="1" fillId="2" borderId="15" xfId="0" applyFont="1" applyFill="1" applyBorder="1" applyAlignment="1">
      <alignment horizontal="left" vertical="top" wrapText="1" indent="1"/>
    </xf>
    <xf numFmtId="0" fontId="1" fillId="2" borderId="16" xfId="0" applyFont="1" applyFill="1" applyBorder="1" applyAlignment="1">
      <alignment horizontal="left" vertical="top" wrapText="1" indent="1"/>
    </xf>
    <xf numFmtId="0" fontId="1" fillId="2" borderId="17" xfId="0" applyFont="1" applyFill="1" applyBorder="1" applyAlignment="1">
      <alignment horizontal="left" vertical="top" wrapText="1" indent="1"/>
    </xf>
    <xf numFmtId="0" fontId="1" fillId="2" borderId="18" xfId="0" applyFont="1" applyFill="1" applyBorder="1" applyAlignment="1">
      <alignment horizontal="left" vertical="top" wrapText="1" indent="1"/>
    </xf>
    <xf numFmtId="0" fontId="3" fillId="2" borderId="8" xfId="0" applyFont="1" applyFill="1" applyBorder="1" applyAlignment="1">
      <alignment horizontal="left"/>
    </xf>
    <xf numFmtId="0" fontId="3" fillId="2" borderId="9" xfId="0" applyFont="1" applyFill="1" applyBorder="1" applyAlignment="1">
      <alignment horizontal="left"/>
    </xf>
    <xf numFmtId="0" fontId="10" fillId="12" borderId="10" xfId="0" applyFont="1" applyFill="1" applyBorder="1" applyAlignment="1">
      <alignment horizontal="left" vertical="center" wrapText="1"/>
    </xf>
    <xf numFmtId="0" fontId="10" fillId="12" borderId="0" xfId="0" applyFont="1" applyFill="1" applyAlignment="1">
      <alignment horizontal="left" vertical="center" wrapText="1"/>
    </xf>
    <xf numFmtId="0" fontId="32" fillId="17" borderId="0" xfId="0" applyFont="1" applyFill="1" applyAlignment="1">
      <alignment horizontal="left"/>
    </xf>
    <xf numFmtId="0" fontId="18" fillId="2" borderId="11" xfId="0" applyFont="1" applyFill="1" applyBorder="1" applyAlignment="1">
      <alignment horizontal="center"/>
    </xf>
  </cellXfs>
  <cellStyles count="4">
    <cellStyle name="Currency 2" xfId="3" xr:uid="{C04FE6B7-4F7E-4EE7-97B0-877D6C8E3627}"/>
    <cellStyle name="Hyperlink" xfId="1" builtinId="8"/>
    <cellStyle name="Normal" xfId="0" builtinId="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358775</xdr:colOff>
      <xdr:row>0</xdr:row>
      <xdr:rowOff>131761</xdr:rowOff>
    </xdr:from>
    <xdr:to>
      <xdr:col>2</xdr:col>
      <xdr:colOff>31750</xdr:colOff>
      <xdr:row>3</xdr:row>
      <xdr:rowOff>133349</xdr:rowOff>
    </xdr:to>
    <xdr:pic>
      <xdr:nvPicPr>
        <xdr:cNvPr id="3" name="Picture 2">
          <a:extLst>
            <a:ext uri="{FF2B5EF4-FFF2-40B4-BE49-F238E27FC236}">
              <a16:creationId xmlns:a16="http://schemas.microsoft.com/office/drawing/2014/main" id="{1E8713B5-B82E-458C-A078-B58E66C58E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775" y="131761"/>
          <a:ext cx="981075" cy="7000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erieri.com/salary/job/counselor/canada/ontario" TargetMode="External"/><Relationship Id="rId13" Type="http://schemas.openxmlformats.org/officeDocument/2006/relationships/hyperlink" Target="https://cbe.ab.ca/careers/Documents/Collective-Agreement-CBE-ATA.pdf" TargetMode="External"/><Relationship Id="rId18" Type="http://schemas.openxmlformats.org/officeDocument/2006/relationships/hyperlink" Target="https://sbwsdstor.blob.core.windows.net/media/Default/medialib/wta-collective-agreement-2018-to-2022-february-2-2022.b191cf23359.pdf" TargetMode="External"/><Relationship Id="rId3" Type="http://schemas.openxmlformats.org/officeDocument/2006/relationships/hyperlink" Target="https://nstu.blob.core.windows.net/nstuwebsite/data/agreements/Salary%20Scales%202019-2023.pdf" TargetMode="External"/><Relationship Id="rId7" Type="http://schemas.openxmlformats.org/officeDocument/2006/relationships/hyperlink" Target="https://www.erieri.com/salary/job/guidance-counselor/canada/saskatchewan/regina" TargetMode="External"/><Relationship Id="rId12" Type="http://schemas.openxmlformats.org/officeDocument/2006/relationships/hyperlink" Target="https://sp.ltc.gov.on.ca/sites/mol/drs/ca/Education%20and%20Related%20Services/611-11932-22%20(801-0786).pdf" TargetMode="External"/><Relationship Id="rId17" Type="http://schemas.openxmlformats.org/officeDocument/2006/relationships/hyperlink" Target="https://www2.gnb.ca/content/dam/gnb/Departments/ohr-brh/pdf/ca/201.pdf" TargetMode="External"/><Relationship Id="rId2" Type="http://schemas.openxmlformats.org/officeDocument/2006/relationships/hyperlink" Target="https://cbe.ab.ca/careers/Documents/Collective-Agreement-CBE-ATA.pdf" TargetMode="External"/><Relationship Id="rId16" Type="http://schemas.openxmlformats.org/officeDocument/2006/relationships/hyperlink" Target="https://www.stf.sk.ca/sites/default/files/stf-0041_20210212_rh_web.pdf" TargetMode="External"/><Relationship Id="rId20" Type="http://schemas.openxmlformats.org/officeDocument/2006/relationships/printerSettings" Target="../printerSettings/printerSettings8.bin"/><Relationship Id="rId1" Type="http://schemas.openxmlformats.org/officeDocument/2006/relationships/hyperlink" Target="https://sp.ltc.gov.on.ca/sites/mol/drs/ca/Education%20and%20Related%20Services/611-11932-22%20(801-0786).pdf" TargetMode="External"/><Relationship Id="rId6" Type="http://schemas.openxmlformats.org/officeDocument/2006/relationships/hyperlink" Target="https://alis.alberta.ca/occinfo/occupations-in-alberta/occupation-profiles/educational-counsellor/" TargetMode="External"/><Relationship Id="rId11" Type="http://schemas.openxmlformats.org/officeDocument/2006/relationships/hyperlink" Target="https://sbwsdstor.blob.core.windows.net/media/Default/medialib/wta-collective-agreement-2018-to-2022-february-2-2022.b191cf23359.pdf" TargetMode="External"/><Relationship Id="rId5" Type="http://schemas.openxmlformats.org/officeDocument/2006/relationships/hyperlink" Target="https://www.stf.sk.ca/sites/default/files/stf-0041_20210212_rh_web.pdf" TargetMode="External"/><Relationship Id="rId15" Type="http://schemas.openxmlformats.org/officeDocument/2006/relationships/hyperlink" Target="https://files.nlta.nl.ca/wp-content/uploads/public/documents/agreements/prov_agmt.pdf" TargetMode="External"/><Relationship Id="rId10" Type="http://schemas.openxmlformats.org/officeDocument/2006/relationships/hyperlink" Target="https://www2.gnb.ca/content/dam/gnb/Departments/ohr-brh/pdf/ca/201.pdf" TargetMode="External"/><Relationship Id="rId19" Type="http://schemas.openxmlformats.org/officeDocument/2006/relationships/hyperlink" Target="https://www.jobbank.gc.ca/marketreport/wages-occupation/25517/NS" TargetMode="External"/><Relationship Id="rId4" Type="http://schemas.openxmlformats.org/officeDocument/2006/relationships/hyperlink" Target="https://files.nlta.nl.ca/wp-content/uploads/public/documents/agreements/prov_agmt.pdf" TargetMode="External"/><Relationship Id="rId9" Type="http://schemas.openxmlformats.org/officeDocument/2006/relationships/hyperlink" Target="https://www.quebec.ca/en/employment/trades-occupations/exploring-trades-and-occupations/4033-educational-counsellors" TargetMode="External"/><Relationship Id="rId14" Type="http://schemas.openxmlformats.org/officeDocument/2006/relationships/hyperlink" Target="https://nstu.blob.core.windows.net/nstuwebsite/data/agreements/Salary%20Scales%202019-2023.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assessments.education/fee" TargetMode="External"/><Relationship Id="rId13" Type="http://schemas.openxmlformats.org/officeDocument/2006/relationships/printerSettings" Target="../printerSettings/printerSettings9.bin"/><Relationship Id="rId3" Type="http://schemas.openxmlformats.org/officeDocument/2006/relationships/hyperlink" Target="https://www.pathpsychologicalservices.com/servicesandfees" TargetMode="External"/><Relationship Id="rId7" Type="http://schemas.openxmlformats.org/officeDocument/2006/relationships/hyperlink" Target="http://psychservices4kids.com/2.html" TargetMode="External"/><Relationship Id="rId12" Type="http://schemas.openxmlformats.org/officeDocument/2006/relationships/hyperlink" Target="https://www.victoriachildpsychology.com/faq.html" TargetMode="External"/><Relationship Id="rId2" Type="http://schemas.openxmlformats.org/officeDocument/2006/relationships/hyperlink" Target="https://www.sharonblott.com/resources/fees" TargetMode="External"/><Relationship Id="rId1" Type="http://schemas.openxmlformats.org/officeDocument/2006/relationships/hyperlink" Target="https://albertacounselling.ca/fees.html" TargetMode="External"/><Relationship Id="rId6" Type="http://schemas.openxmlformats.org/officeDocument/2006/relationships/hyperlink" Target="https://www.bayridgecounsellingcentres.ca/online-counselling/psycho-educational-assessment/" TargetMode="External"/><Relationship Id="rId11" Type="http://schemas.openxmlformats.org/officeDocument/2006/relationships/hyperlink" Target="https://www.claritynb.ca/fees-cancellations/" TargetMode="External"/><Relationship Id="rId5" Type="http://schemas.openxmlformats.org/officeDocument/2006/relationships/hyperlink" Target="https://mps.ca/psychologist-fees/" TargetMode="External"/><Relationship Id="rId10" Type="http://schemas.openxmlformats.org/officeDocument/2006/relationships/hyperlink" Target="https://cpamoncton.ca/en/about-us/rates" TargetMode="External"/><Relationship Id="rId4" Type="http://schemas.openxmlformats.org/officeDocument/2006/relationships/hyperlink" Target="https://www.ldamanitoba.org/assessment-diagnosis" TargetMode="External"/><Relationship Id="rId9" Type="http://schemas.openxmlformats.org/officeDocument/2006/relationships/hyperlink" Target="https://drstephaniemargolese.com/psychological-testing-of-your-child-explained"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anada.ca/en/revenue-agency/services/tax/businesses/topics/payroll/payroll-deductions-contributions/employment-insurance-ei/ei-premium-rates-maximums.html" TargetMode="External"/><Relationship Id="rId1" Type="http://schemas.openxmlformats.org/officeDocument/2006/relationships/hyperlink" Target="https://www.canada.ca/en/revenue-agency/services/tax/businesses/topics/payroll/payroll-deductions-contributions/canada-pension-plan-cpp/cpp-contribution-rates-maximums-exemptions.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3A5D-0B20-4AB0-AA47-D37E7D9F2595}">
  <sheetPr>
    <tabColor theme="4" tint="-0.249977111117893"/>
  </sheetPr>
  <dimension ref="B2:G25"/>
  <sheetViews>
    <sheetView tabSelected="1" workbookViewId="0">
      <selection activeCell="J5" sqref="J5"/>
    </sheetView>
  </sheetViews>
  <sheetFormatPr defaultColWidth="9.1796875" defaultRowHeight="14.5" x14ac:dyDescent="0.35"/>
  <cols>
    <col min="1" max="1" width="9.1796875" style="1"/>
    <col min="2" max="2" width="9.54296875" style="1" customWidth="1"/>
    <col min="3" max="3" width="15.81640625" style="1" customWidth="1"/>
    <col min="4" max="4" width="21.54296875" style="1" customWidth="1"/>
    <col min="5" max="6" width="15.81640625" style="1" customWidth="1"/>
    <col min="7" max="7" width="10.81640625" style="1" customWidth="1"/>
    <col min="8" max="16384" width="9.1796875" style="1"/>
  </cols>
  <sheetData>
    <row r="2" spans="2:7" ht="23.5" x14ac:dyDescent="0.55000000000000004">
      <c r="B2" s="27" t="s">
        <v>0</v>
      </c>
    </row>
    <row r="3" spans="2:7" ht="17" x14ac:dyDescent="0.4">
      <c r="B3" s="28" t="s">
        <v>1</v>
      </c>
    </row>
    <row r="5" spans="2:7" x14ac:dyDescent="0.35">
      <c r="B5" s="169" t="s">
        <v>843</v>
      </c>
      <c r="C5" s="170"/>
      <c r="D5" s="170"/>
      <c r="E5" s="170"/>
      <c r="F5" s="170"/>
      <c r="G5" s="171"/>
    </row>
    <row r="6" spans="2:7" x14ac:dyDescent="0.35">
      <c r="B6" s="172"/>
      <c r="C6" s="173"/>
      <c r="D6" s="173"/>
      <c r="E6" s="173"/>
      <c r="F6" s="173"/>
      <c r="G6" s="174"/>
    </row>
    <row r="7" spans="2:7" x14ac:dyDescent="0.35">
      <c r="B7" s="172"/>
      <c r="C7" s="173"/>
      <c r="D7" s="173"/>
      <c r="E7" s="173"/>
      <c r="F7" s="173"/>
      <c r="G7" s="174"/>
    </row>
    <row r="8" spans="2:7" x14ac:dyDescent="0.35">
      <c r="B8" s="175"/>
      <c r="C8" s="176"/>
      <c r="D8" s="176"/>
      <c r="E8" s="176"/>
      <c r="F8" s="176"/>
      <c r="G8" s="177"/>
    </row>
    <row r="10" spans="2:7" x14ac:dyDescent="0.35">
      <c r="B10" s="7" t="s">
        <v>2</v>
      </c>
    </row>
    <row r="11" spans="2:7" x14ac:dyDescent="0.35">
      <c r="B11" s="20"/>
      <c r="C11" s="178" t="s">
        <v>3</v>
      </c>
      <c r="D11" s="179"/>
    </row>
    <row r="12" spans="2:7" x14ac:dyDescent="0.35">
      <c r="B12" s="26"/>
      <c r="C12" s="178" t="s">
        <v>4</v>
      </c>
      <c r="D12" s="179"/>
    </row>
    <row r="13" spans="2:7" x14ac:dyDescent="0.35">
      <c r="B13" s="33"/>
      <c r="C13" s="178" t="s">
        <v>5</v>
      </c>
      <c r="D13" s="179"/>
    </row>
    <row r="14" spans="2:7" x14ac:dyDescent="0.35">
      <c r="B14" s="34"/>
      <c r="C14" s="178" t="s">
        <v>6</v>
      </c>
      <c r="D14" s="179"/>
    </row>
    <row r="17" spans="2:7" x14ac:dyDescent="0.35">
      <c r="B17" s="29" t="s">
        <v>7</v>
      </c>
      <c r="C17" s="30"/>
      <c r="D17" s="31"/>
      <c r="E17" s="31"/>
      <c r="F17" s="31"/>
      <c r="G17" s="32"/>
    </row>
    <row r="18" spans="2:7" x14ac:dyDescent="0.35">
      <c r="B18" s="163" t="s">
        <v>8</v>
      </c>
      <c r="C18" s="164"/>
      <c r="D18" s="164"/>
      <c r="E18" s="164"/>
      <c r="F18" s="164"/>
      <c r="G18" s="165"/>
    </row>
    <row r="19" spans="2:7" x14ac:dyDescent="0.35">
      <c r="B19" s="163"/>
      <c r="C19" s="164"/>
      <c r="D19" s="164"/>
      <c r="E19" s="164"/>
      <c r="F19" s="164"/>
      <c r="G19" s="165"/>
    </row>
    <row r="20" spans="2:7" x14ac:dyDescent="0.35">
      <c r="B20" s="163"/>
      <c r="C20" s="164"/>
      <c r="D20" s="164"/>
      <c r="E20" s="164"/>
      <c r="F20" s="164"/>
      <c r="G20" s="165"/>
    </row>
    <row r="21" spans="2:7" x14ac:dyDescent="0.35">
      <c r="B21" s="163"/>
      <c r="C21" s="164"/>
      <c r="D21" s="164"/>
      <c r="E21" s="164"/>
      <c r="F21" s="164"/>
      <c r="G21" s="165"/>
    </row>
    <row r="22" spans="2:7" x14ac:dyDescent="0.35">
      <c r="B22" s="163"/>
      <c r="C22" s="164"/>
      <c r="D22" s="164"/>
      <c r="E22" s="164"/>
      <c r="F22" s="164"/>
      <c r="G22" s="165"/>
    </row>
    <row r="23" spans="2:7" x14ac:dyDescent="0.35">
      <c r="B23" s="163"/>
      <c r="C23" s="164"/>
      <c r="D23" s="164"/>
      <c r="E23" s="164"/>
      <c r="F23" s="164"/>
      <c r="G23" s="165"/>
    </row>
    <row r="24" spans="2:7" x14ac:dyDescent="0.35">
      <c r="B24" s="163"/>
      <c r="C24" s="164"/>
      <c r="D24" s="164"/>
      <c r="E24" s="164"/>
      <c r="F24" s="164"/>
      <c r="G24" s="165"/>
    </row>
    <row r="25" spans="2:7" x14ac:dyDescent="0.35">
      <c r="B25" s="166"/>
      <c r="C25" s="167"/>
      <c r="D25" s="167"/>
      <c r="E25" s="167"/>
      <c r="F25" s="167"/>
      <c r="G25" s="168"/>
    </row>
  </sheetData>
  <mergeCells count="6">
    <mergeCell ref="B18:G25"/>
    <mergeCell ref="B5:G8"/>
    <mergeCell ref="C11:D11"/>
    <mergeCell ref="C12:D12"/>
    <mergeCell ref="C13:D13"/>
    <mergeCell ref="C14:D1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9"/>
  <sheetViews>
    <sheetView zoomScale="85" zoomScaleNormal="85" workbookViewId="0"/>
  </sheetViews>
  <sheetFormatPr defaultColWidth="9.1796875" defaultRowHeight="14.5" x14ac:dyDescent="0.35"/>
  <cols>
    <col min="1" max="16384" width="9.1796875" style="1"/>
  </cols>
  <sheetData>
    <row r="2" spans="1:1" x14ac:dyDescent="0.35">
      <c r="A2" s="1" t="s">
        <v>157</v>
      </c>
    </row>
    <row r="4" spans="1:1" x14ac:dyDescent="0.35">
      <c r="A4" s="7" t="s">
        <v>158</v>
      </c>
    </row>
    <row r="5" spans="1:1" x14ac:dyDescent="0.35">
      <c r="A5" s="7" t="s">
        <v>159</v>
      </c>
    </row>
    <row r="6" spans="1:1" x14ac:dyDescent="0.35">
      <c r="A6" s="1" t="s">
        <v>160</v>
      </c>
    </row>
    <row r="7" spans="1:1" x14ac:dyDescent="0.35">
      <c r="A7" s="1" t="s">
        <v>161</v>
      </c>
    </row>
    <row r="8" spans="1:1" x14ac:dyDescent="0.35">
      <c r="A8" s="7" t="s">
        <v>162</v>
      </c>
    </row>
    <row r="9" spans="1:1" x14ac:dyDescent="0.35">
      <c r="A9" s="7" t="s">
        <v>163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4BB57-3FF7-4029-A74D-9B4B8D9CEAC2}">
  <dimension ref="A1:AE64"/>
  <sheetViews>
    <sheetView zoomScale="85" zoomScaleNormal="85" workbookViewId="0">
      <selection activeCell="U14" sqref="U14"/>
    </sheetView>
  </sheetViews>
  <sheetFormatPr defaultColWidth="8.81640625" defaultRowHeight="14.5" x14ac:dyDescent="0.35"/>
  <cols>
    <col min="1" max="2" width="16.453125" style="1" customWidth="1"/>
    <col min="3" max="4" width="16.453125" style="1" hidden="1" customWidth="1"/>
    <col min="5" max="7" width="16.453125" style="1" customWidth="1"/>
    <col min="8" max="16384" width="8.81640625" style="1"/>
  </cols>
  <sheetData>
    <row r="1" spans="1:31" x14ac:dyDescent="0.35">
      <c r="A1" s="7" t="s">
        <v>164</v>
      </c>
    </row>
    <row r="2" spans="1:31" x14ac:dyDescent="0.35">
      <c r="B2" s="7" t="s">
        <v>165</v>
      </c>
      <c r="C2" s="7" t="s">
        <v>166</v>
      </c>
      <c r="D2" s="7" t="s">
        <v>167</v>
      </c>
      <c r="E2" s="7" t="s">
        <v>168</v>
      </c>
      <c r="F2" s="7" t="s">
        <v>169</v>
      </c>
      <c r="G2" s="7"/>
    </row>
    <row r="3" spans="1:31" customFormat="1" x14ac:dyDescent="0.35">
      <c r="A3" s="1" t="s">
        <v>11</v>
      </c>
      <c r="B3" s="64">
        <f>AVERAGE(101331, 101162)</f>
        <v>101246.5</v>
      </c>
      <c r="C3" s="64"/>
      <c r="D3" s="64"/>
      <c r="E3" s="65">
        <f t="shared" ref="E3:E12" si="0">AVERAGE(B3:B3)</f>
        <v>101246.5</v>
      </c>
      <c r="F3" s="6" t="s">
        <v>170</v>
      </c>
      <c r="G3" s="35"/>
      <c r="H3" s="1"/>
      <c r="I3" s="1"/>
      <c r="J3" s="1"/>
      <c r="K3" s="1"/>
      <c r="L3" s="1"/>
      <c r="M3" s="1"/>
      <c r="N3" s="1"/>
      <c r="O3" s="1"/>
      <c r="P3" s="1"/>
      <c r="Q3" s="1"/>
      <c r="R3" s="1"/>
      <c r="S3" s="1"/>
      <c r="T3" s="1"/>
      <c r="U3" s="1"/>
      <c r="V3" s="1"/>
      <c r="W3" s="1"/>
      <c r="X3" s="1"/>
      <c r="Y3" s="1"/>
      <c r="Z3" s="1"/>
      <c r="AA3" s="1"/>
      <c r="AB3" s="1"/>
      <c r="AC3" s="1"/>
      <c r="AD3" s="1"/>
      <c r="AE3" s="1"/>
    </row>
    <row r="4" spans="1:31" customFormat="1" x14ac:dyDescent="0.35">
      <c r="A4" s="1" t="s">
        <v>171</v>
      </c>
      <c r="B4" s="64">
        <v>102048</v>
      </c>
      <c r="C4" s="64"/>
      <c r="D4" s="64"/>
      <c r="E4" s="65">
        <f t="shared" si="0"/>
        <v>102048</v>
      </c>
      <c r="F4" s="6" t="s">
        <v>172</v>
      </c>
      <c r="G4" s="35"/>
      <c r="H4" s="1"/>
      <c r="I4" s="1"/>
      <c r="J4" s="1"/>
      <c r="K4" s="1"/>
      <c r="L4" s="1"/>
      <c r="M4" s="1"/>
      <c r="N4" s="1"/>
      <c r="O4" s="1"/>
      <c r="P4" s="1"/>
      <c r="Q4" s="1"/>
      <c r="R4" s="1"/>
      <c r="S4" s="1"/>
      <c r="T4" s="1"/>
      <c r="U4" s="1"/>
      <c r="V4" s="1"/>
      <c r="W4" s="1"/>
      <c r="X4" s="1"/>
      <c r="Y4" s="1"/>
      <c r="Z4" s="1"/>
      <c r="AA4" s="1"/>
      <c r="AB4" s="1"/>
      <c r="AC4" s="1"/>
      <c r="AD4" s="1"/>
      <c r="AE4" s="1"/>
    </row>
    <row r="5" spans="1:31" customFormat="1" x14ac:dyDescent="0.35">
      <c r="A5" s="1" t="s">
        <v>173</v>
      </c>
      <c r="B5" s="64">
        <v>109094</v>
      </c>
      <c r="C5" s="64"/>
      <c r="D5" s="64"/>
      <c r="E5" s="65">
        <f t="shared" si="0"/>
        <v>109094</v>
      </c>
      <c r="F5" s="6" t="s">
        <v>174</v>
      </c>
      <c r="G5" s="35"/>
      <c r="H5" s="1"/>
      <c r="I5" s="1"/>
      <c r="J5" s="1"/>
      <c r="K5" s="1"/>
      <c r="L5" s="1"/>
      <c r="M5" s="1"/>
      <c r="N5" s="1"/>
      <c r="O5" s="1"/>
      <c r="P5" s="1"/>
      <c r="Q5" s="1"/>
      <c r="R5" s="1"/>
      <c r="S5" s="1"/>
      <c r="T5" s="1"/>
      <c r="U5" s="1"/>
      <c r="V5" s="1"/>
      <c r="W5" s="1"/>
      <c r="X5" s="1"/>
      <c r="Y5" s="1"/>
      <c r="Z5" s="1"/>
      <c r="AA5" s="1"/>
      <c r="AB5" s="1"/>
      <c r="AC5" s="1"/>
      <c r="AD5" s="1"/>
      <c r="AE5" s="1"/>
    </row>
    <row r="6" spans="1:31" customFormat="1" x14ac:dyDescent="0.35">
      <c r="A6" s="1" t="s">
        <v>175</v>
      </c>
      <c r="B6" s="64">
        <f>AVERAGE(103001, 103064)</f>
        <v>103032.5</v>
      </c>
      <c r="C6" s="64"/>
      <c r="D6" s="64"/>
      <c r="E6" s="65">
        <f t="shared" si="0"/>
        <v>103032.5</v>
      </c>
      <c r="F6" s="6" t="s">
        <v>176</v>
      </c>
      <c r="G6" s="35"/>
      <c r="H6" s="1"/>
      <c r="I6" s="1"/>
      <c r="J6" s="1"/>
      <c r="K6" s="1"/>
      <c r="L6" s="1"/>
      <c r="M6" s="1"/>
      <c r="N6" s="1"/>
      <c r="O6" s="1"/>
      <c r="P6" s="1"/>
      <c r="Q6" s="1"/>
      <c r="R6" s="1"/>
      <c r="S6" s="1"/>
      <c r="T6" s="1"/>
      <c r="U6" s="1"/>
      <c r="V6" s="1"/>
      <c r="W6" s="1"/>
      <c r="X6" s="1"/>
      <c r="Y6" s="1"/>
      <c r="Z6" s="1"/>
      <c r="AA6" s="1"/>
      <c r="AB6" s="1"/>
      <c r="AC6" s="1"/>
      <c r="AD6" s="1"/>
      <c r="AE6" s="1"/>
    </row>
    <row r="7" spans="1:31" customFormat="1" x14ac:dyDescent="0.35">
      <c r="A7" s="1" t="s">
        <v>177</v>
      </c>
      <c r="B7" s="64">
        <v>82585</v>
      </c>
      <c r="C7" s="64"/>
      <c r="D7" s="64"/>
      <c r="E7" s="65">
        <f t="shared" si="0"/>
        <v>82585</v>
      </c>
      <c r="F7" s="19" t="s">
        <v>178</v>
      </c>
      <c r="G7" s="35"/>
      <c r="H7" s="1"/>
      <c r="I7" s="1"/>
      <c r="J7" s="1"/>
      <c r="K7" s="1"/>
      <c r="L7" s="1"/>
      <c r="M7" s="1"/>
      <c r="N7" s="1"/>
      <c r="O7" s="1"/>
      <c r="P7" s="1"/>
      <c r="Q7" s="1"/>
      <c r="R7" s="1"/>
      <c r="S7" s="1"/>
      <c r="T7" s="1"/>
      <c r="U7" s="1"/>
      <c r="V7" s="1"/>
      <c r="W7" s="1"/>
      <c r="X7" s="1"/>
      <c r="Y7" s="1"/>
      <c r="Z7" s="1"/>
      <c r="AA7" s="1"/>
      <c r="AB7" s="1"/>
      <c r="AC7" s="1"/>
      <c r="AD7" s="1"/>
      <c r="AE7" s="1"/>
    </row>
    <row r="8" spans="1:31" customFormat="1" x14ac:dyDescent="0.35">
      <c r="A8" s="1" t="s">
        <v>179</v>
      </c>
      <c r="B8" s="64">
        <v>89530</v>
      </c>
      <c r="C8" s="64"/>
      <c r="D8" s="64"/>
      <c r="E8" s="65">
        <f t="shared" si="0"/>
        <v>89530</v>
      </c>
      <c r="F8" s="19" t="s">
        <v>180</v>
      </c>
      <c r="G8" s="35"/>
      <c r="H8" s="1"/>
      <c r="I8" s="1"/>
      <c r="J8" s="1"/>
      <c r="K8" s="1"/>
      <c r="L8" s="1"/>
      <c r="M8" s="1"/>
      <c r="N8" s="1"/>
      <c r="O8" s="1"/>
      <c r="P8" s="1"/>
      <c r="Q8" s="1"/>
      <c r="R8" s="1"/>
      <c r="S8" s="1"/>
      <c r="T8" s="1"/>
      <c r="U8" s="1"/>
      <c r="V8" s="1"/>
      <c r="W8" s="1"/>
      <c r="X8" s="1"/>
      <c r="Y8" s="1"/>
      <c r="Z8" s="1"/>
      <c r="AA8" s="1"/>
      <c r="AB8" s="1"/>
      <c r="AC8" s="1"/>
      <c r="AD8" s="1"/>
      <c r="AE8" s="1"/>
    </row>
    <row r="9" spans="1:31" customFormat="1" x14ac:dyDescent="0.35">
      <c r="A9" s="1" t="s">
        <v>181</v>
      </c>
      <c r="B9" s="64">
        <v>101926</v>
      </c>
      <c r="C9" s="64"/>
      <c r="D9" s="64"/>
      <c r="E9" s="65">
        <f t="shared" si="0"/>
        <v>101926</v>
      </c>
      <c r="F9" s="6" t="s">
        <v>182</v>
      </c>
      <c r="G9" s="35"/>
      <c r="H9" s="1"/>
      <c r="I9" s="1"/>
      <c r="J9" s="1"/>
      <c r="K9" s="1"/>
      <c r="L9" s="1"/>
      <c r="M9" s="1"/>
      <c r="N9" s="1"/>
      <c r="O9" s="1"/>
      <c r="P9" s="1"/>
      <c r="Q9" s="1"/>
      <c r="R9" s="1"/>
      <c r="S9" s="1"/>
      <c r="T9" s="1"/>
      <c r="U9" s="1"/>
      <c r="V9" s="1"/>
      <c r="W9" s="1"/>
      <c r="X9" s="1"/>
      <c r="Y9" s="1"/>
      <c r="Z9" s="1"/>
      <c r="AA9" s="1"/>
      <c r="AB9" s="1"/>
      <c r="AC9" s="1"/>
      <c r="AD9" s="1"/>
      <c r="AE9" s="1"/>
    </row>
    <row r="10" spans="1:31" customFormat="1" x14ac:dyDescent="0.35">
      <c r="A10" s="1" t="s">
        <v>183</v>
      </c>
      <c r="B10" s="64">
        <v>92538</v>
      </c>
      <c r="C10" s="64"/>
      <c r="D10" s="64"/>
      <c r="E10" s="65">
        <f t="shared" si="0"/>
        <v>92538</v>
      </c>
      <c r="F10" s="6" t="s">
        <v>184</v>
      </c>
      <c r="G10" s="35"/>
      <c r="H10" s="1"/>
      <c r="I10" s="1"/>
      <c r="J10" s="1"/>
      <c r="K10" s="1"/>
      <c r="L10" s="1"/>
      <c r="M10" s="1"/>
      <c r="N10" s="1"/>
      <c r="O10" s="1"/>
      <c r="P10" s="1"/>
      <c r="Q10" s="1"/>
      <c r="R10" s="1"/>
      <c r="S10" s="1"/>
      <c r="T10" s="1"/>
      <c r="U10" s="1"/>
      <c r="V10" s="1"/>
      <c r="W10" s="1"/>
      <c r="X10" s="1"/>
      <c r="Y10" s="1"/>
      <c r="Z10" s="1"/>
      <c r="AA10" s="1"/>
      <c r="AB10" s="1"/>
      <c r="AC10" s="1"/>
      <c r="AD10" s="1"/>
      <c r="AE10" s="1"/>
    </row>
    <row r="11" spans="1:31" customFormat="1" x14ac:dyDescent="0.35">
      <c r="A11" s="1" t="s">
        <v>185</v>
      </c>
      <c r="B11" s="64">
        <v>92234</v>
      </c>
      <c r="C11" s="64"/>
      <c r="D11" s="64"/>
      <c r="E11" s="65">
        <f t="shared" si="0"/>
        <v>92234</v>
      </c>
      <c r="F11" s="6" t="s">
        <v>186</v>
      </c>
      <c r="G11" s="35"/>
      <c r="H11" s="1"/>
      <c r="I11" s="1"/>
      <c r="J11" s="1"/>
      <c r="K11" s="1"/>
      <c r="L11" s="1"/>
      <c r="M11" s="1"/>
      <c r="N11" s="1"/>
      <c r="O11" s="1"/>
      <c r="P11" s="1"/>
      <c r="Q11" s="1"/>
      <c r="R11" s="1"/>
      <c r="S11" s="1"/>
      <c r="T11" s="1"/>
      <c r="U11" s="1"/>
      <c r="V11" s="1"/>
      <c r="W11" s="1"/>
      <c r="X11" s="1"/>
      <c r="Y11" s="1"/>
      <c r="Z11" s="1"/>
      <c r="AA11" s="1"/>
      <c r="AB11" s="1"/>
      <c r="AC11" s="1"/>
      <c r="AD11" s="1"/>
      <c r="AE11" s="1"/>
    </row>
    <row r="12" spans="1:31" customFormat="1" x14ac:dyDescent="0.35">
      <c r="A12" s="1" t="s">
        <v>187</v>
      </c>
      <c r="B12" s="64">
        <f>AVERAGE(B8:B11)</f>
        <v>94057</v>
      </c>
      <c r="C12" s="64"/>
      <c r="D12" s="64"/>
      <c r="E12" s="65">
        <f t="shared" si="0"/>
        <v>94057</v>
      </c>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customFormat="1"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x14ac:dyDescent="0.35">
      <c r="A14" s="7" t="s">
        <v>37</v>
      </c>
    </row>
    <row r="15" spans="1:31" x14ac:dyDescent="0.35">
      <c r="B15" s="7" t="s">
        <v>165</v>
      </c>
      <c r="C15" s="7" t="s">
        <v>166</v>
      </c>
      <c r="D15" s="7" t="s">
        <v>167</v>
      </c>
      <c r="E15" s="7" t="s">
        <v>168</v>
      </c>
      <c r="F15" s="7" t="s">
        <v>169</v>
      </c>
      <c r="G15" s="7"/>
    </row>
    <row r="16" spans="1:31" x14ac:dyDescent="0.35">
      <c r="A16" s="1" t="s">
        <v>11</v>
      </c>
      <c r="B16" s="64">
        <f>AVERAGE(79831, 79682)</f>
        <v>79756.5</v>
      </c>
      <c r="C16" s="64"/>
      <c r="D16" s="64"/>
      <c r="E16" s="5">
        <f t="shared" ref="E16:E25" si="1">AVERAGE(B16:B16)</f>
        <v>79756.5</v>
      </c>
      <c r="F16" s="6" t="s">
        <v>170</v>
      </c>
      <c r="G16" s="35"/>
    </row>
    <row r="17" spans="1:7" x14ac:dyDescent="0.35">
      <c r="A17" s="1" t="s">
        <v>171</v>
      </c>
      <c r="B17" s="64">
        <f>AVERAGE(59034, 73989)</f>
        <v>66511.5</v>
      </c>
      <c r="C17" s="64"/>
      <c r="D17" s="64"/>
      <c r="E17" s="5">
        <f t="shared" si="1"/>
        <v>66511.5</v>
      </c>
      <c r="F17" s="6" t="s">
        <v>172</v>
      </c>
      <c r="G17" s="35"/>
    </row>
    <row r="18" spans="1:7" x14ac:dyDescent="0.35">
      <c r="A18" s="1" t="s">
        <v>173</v>
      </c>
      <c r="B18" s="64">
        <v>76827</v>
      </c>
      <c r="C18" s="64"/>
      <c r="D18" s="64"/>
      <c r="E18" s="5">
        <f t="shared" si="1"/>
        <v>76827</v>
      </c>
      <c r="F18" s="6" t="s">
        <v>174</v>
      </c>
      <c r="G18" s="35"/>
    </row>
    <row r="19" spans="1:7" x14ac:dyDescent="0.35">
      <c r="A19" s="1" t="s">
        <v>175</v>
      </c>
      <c r="B19" s="64">
        <f>AVERAGE(71939, AVERAGE(68410,76486))</f>
        <v>72193.5</v>
      </c>
      <c r="C19" s="64"/>
      <c r="D19" s="64"/>
      <c r="E19" s="5">
        <f t="shared" si="1"/>
        <v>72193.5</v>
      </c>
      <c r="F19" s="6" t="s">
        <v>176</v>
      </c>
      <c r="G19" s="35"/>
    </row>
    <row r="20" spans="1:7" x14ac:dyDescent="0.35">
      <c r="A20" s="1" t="s">
        <v>177</v>
      </c>
      <c r="B20" s="64">
        <v>59196</v>
      </c>
      <c r="C20" s="64"/>
      <c r="D20" s="64"/>
      <c r="E20" s="5">
        <f t="shared" si="1"/>
        <v>59196</v>
      </c>
      <c r="F20" s="19" t="s">
        <v>178</v>
      </c>
      <c r="G20" s="35"/>
    </row>
    <row r="21" spans="1:7" x14ac:dyDescent="0.35">
      <c r="A21" s="1" t="s">
        <v>179</v>
      </c>
      <c r="B21" s="64">
        <f>AVERAGE(50961, 61804)</f>
        <v>56382.5</v>
      </c>
      <c r="C21" s="64"/>
      <c r="D21" s="64"/>
      <c r="E21" s="5">
        <f t="shared" si="1"/>
        <v>56382.5</v>
      </c>
      <c r="F21" s="19" t="s">
        <v>180</v>
      </c>
      <c r="G21" s="35"/>
    </row>
    <row r="22" spans="1:7" x14ac:dyDescent="0.35">
      <c r="A22" s="1" t="s">
        <v>181</v>
      </c>
      <c r="B22" s="64">
        <f>AVERAGE(69314, 77404)</f>
        <v>73359</v>
      </c>
      <c r="C22" s="64"/>
      <c r="D22" s="64"/>
      <c r="E22" s="5">
        <f t="shared" si="1"/>
        <v>73359</v>
      </c>
      <c r="F22" s="6" t="s">
        <v>182</v>
      </c>
      <c r="G22" s="35"/>
    </row>
    <row r="23" spans="1:7" x14ac:dyDescent="0.35">
      <c r="A23" s="1" t="s">
        <v>183</v>
      </c>
      <c r="B23" s="64">
        <f>AVERAGE(68007, 72802)</f>
        <v>70404.5</v>
      </c>
      <c r="C23" s="64"/>
      <c r="D23" s="64"/>
      <c r="E23" s="5">
        <f t="shared" si="1"/>
        <v>70404.5</v>
      </c>
      <c r="F23" s="6" t="s">
        <v>184</v>
      </c>
      <c r="G23" s="35"/>
    </row>
    <row r="24" spans="1:7" x14ac:dyDescent="0.35">
      <c r="A24" s="1" t="s">
        <v>185</v>
      </c>
      <c r="B24" s="64">
        <v>56582</v>
      </c>
      <c r="C24" s="64"/>
      <c r="D24" s="64"/>
      <c r="E24" s="5">
        <f t="shared" si="1"/>
        <v>56582</v>
      </c>
      <c r="F24" s="6" t="s">
        <v>186</v>
      </c>
      <c r="G24" s="35"/>
    </row>
    <row r="25" spans="1:7" x14ac:dyDescent="0.35">
      <c r="A25" s="1" t="s">
        <v>187</v>
      </c>
      <c r="B25" s="64">
        <f>AVERAGE(B21:B24)</f>
        <v>64182</v>
      </c>
      <c r="C25" s="64"/>
      <c r="D25" s="64"/>
      <c r="E25" s="65">
        <f t="shared" si="1"/>
        <v>64182</v>
      </c>
    </row>
    <row r="27" spans="1:7" x14ac:dyDescent="0.35">
      <c r="A27" s="7" t="s">
        <v>38</v>
      </c>
    </row>
    <row r="28" spans="1:7" x14ac:dyDescent="0.35">
      <c r="B28" s="7" t="s">
        <v>165</v>
      </c>
      <c r="C28" s="7" t="s">
        <v>166</v>
      </c>
      <c r="D28" s="7" t="s">
        <v>167</v>
      </c>
      <c r="E28" s="7" t="s">
        <v>188</v>
      </c>
      <c r="F28" s="7" t="s">
        <v>169</v>
      </c>
      <c r="G28" s="7"/>
    </row>
    <row r="29" spans="1:7" x14ac:dyDescent="0.35">
      <c r="A29" s="1" t="s">
        <v>11</v>
      </c>
      <c r="B29" s="64">
        <f>22.27*1440</f>
        <v>32068.799999999999</v>
      </c>
      <c r="C29" s="64"/>
      <c r="D29" s="64"/>
      <c r="E29" s="5">
        <f>AVERAGE(B29:B29)</f>
        <v>32068.799999999999</v>
      </c>
      <c r="F29" s="6" t="s">
        <v>189</v>
      </c>
      <c r="G29" s="35"/>
    </row>
    <row r="30" spans="1:7" x14ac:dyDescent="0.35">
      <c r="A30" s="1" t="s">
        <v>171</v>
      </c>
      <c r="B30" s="64">
        <f>21.07*1440</f>
        <v>30340.799999999999</v>
      </c>
      <c r="C30" s="64"/>
      <c r="D30" s="64"/>
      <c r="E30" s="5">
        <f>AVERAGE(B30:B30)</f>
        <v>30340.799999999999</v>
      </c>
      <c r="F30" s="6" t="s">
        <v>190</v>
      </c>
      <c r="G30" s="35"/>
    </row>
    <row r="31" spans="1:7" x14ac:dyDescent="0.35">
      <c r="A31" s="1" t="s">
        <v>173</v>
      </c>
      <c r="B31" s="64">
        <f>22*1440</f>
        <v>31680</v>
      </c>
      <c r="C31" s="64"/>
      <c r="D31" s="64"/>
      <c r="E31" s="5">
        <f t="shared" ref="E31:E38" si="2">AVERAGE(B31:B31)</f>
        <v>31680</v>
      </c>
      <c r="F31" s="6" t="s">
        <v>189</v>
      </c>
      <c r="G31" s="35"/>
    </row>
    <row r="32" spans="1:7" x14ac:dyDescent="0.35">
      <c r="A32" s="1" t="s">
        <v>175</v>
      </c>
      <c r="B32" s="64">
        <f>24*1440</f>
        <v>34560</v>
      </c>
      <c r="C32" s="64"/>
      <c r="D32" s="64"/>
      <c r="E32" s="5">
        <f t="shared" si="2"/>
        <v>34560</v>
      </c>
      <c r="F32" s="6" t="s">
        <v>191</v>
      </c>
      <c r="G32" s="35"/>
    </row>
    <row r="33" spans="1:7" x14ac:dyDescent="0.35">
      <c r="A33" s="1" t="s">
        <v>177</v>
      </c>
      <c r="B33" s="64">
        <f>21.55*1440</f>
        <v>31032</v>
      </c>
      <c r="C33" s="64"/>
      <c r="D33" s="64"/>
      <c r="E33" s="5">
        <f t="shared" si="2"/>
        <v>31032</v>
      </c>
      <c r="F33" s="19" t="s">
        <v>192</v>
      </c>
      <c r="G33" s="35"/>
    </row>
    <row r="34" spans="1:7" x14ac:dyDescent="0.35">
      <c r="A34" s="1" t="s">
        <v>179</v>
      </c>
      <c r="B34" s="64">
        <f>26.5*1440</f>
        <v>38160</v>
      </c>
      <c r="C34" s="64"/>
      <c r="D34" s="64"/>
      <c r="E34" s="5">
        <f t="shared" si="2"/>
        <v>38160</v>
      </c>
      <c r="F34" s="19" t="s">
        <v>193</v>
      </c>
      <c r="G34" s="35"/>
    </row>
    <row r="35" spans="1:7" x14ac:dyDescent="0.35">
      <c r="A35" s="1" t="s">
        <v>181</v>
      </c>
      <c r="B35" s="64">
        <f>18*1440</f>
        <v>25920</v>
      </c>
      <c r="C35" s="64"/>
      <c r="D35" s="64"/>
      <c r="E35" s="5">
        <f t="shared" si="2"/>
        <v>25920</v>
      </c>
      <c r="F35" s="6" t="s">
        <v>194</v>
      </c>
      <c r="G35" s="35"/>
    </row>
    <row r="36" spans="1:7" x14ac:dyDescent="0.35">
      <c r="A36" s="1" t="s">
        <v>183</v>
      </c>
      <c r="B36" s="64">
        <f>24*1440</f>
        <v>34560</v>
      </c>
      <c r="C36" s="64"/>
      <c r="D36" s="64"/>
      <c r="E36" s="5">
        <f t="shared" si="2"/>
        <v>34560</v>
      </c>
      <c r="F36" s="6" t="s">
        <v>195</v>
      </c>
      <c r="G36" s="35"/>
    </row>
    <row r="37" spans="1:7" x14ac:dyDescent="0.35">
      <c r="A37" s="1" t="s">
        <v>185</v>
      </c>
      <c r="B37" s="64">
        <f>25.41*1440</f>
        <v>36590.400000000001</v>
      </c>
      <c r="C37" s="64"/>
      <c r="D37" s="64"/>
      <c r="E37" s="5">
        <f t="shared" si="2"/>
        <v>36590.400000000001</v>
      </c>
      <c r="F37" s="6" t="s">
        <v>196</v>
      </c>
      <c r="G37" s="35"/>
    </row>
    <row r="38" spans="1:7" x14ac:dyDescent="0.35">
      <c r="A38" s="1" t="s">
        <v>187</v>
      </c>
      <c r="B38" s="64">
        <f>AVERAGE(B34:B37)</f>
        <v>33807.599999999999</v>
      </c>
      <c r="C38" s="64"/>
      <c r="D38" s="64"/>
      <c r="E38" s="65">
        <f t="shared" si="2"/>
        <v>33807.599999999999</v>
      </c>
    </row>
    <row r="39" spans="1:7" x14ac:dyDescent="0.35">
      <c r="A39" s="7" t="s">
        <v>107</v>
      </c>
    </row>
    <row r="40" spans="1:7" x14ac:dyDescent="0.35">
      <c r="B40" s="7" t="s">
        <v>165</v>
      </c>
      <c r="C40" s="7" t="s">
        <v>166</v>
      </c>
      <c r="D40" s="7" t="s">
        <v>167</v>
      </c>
      <c r="E40" s="7" t="s">
        <v>168</v>
      </c>
      <c r="F40" s="7" t="s">
        <v>169</v>
      </c>
      <c r="G40" s="7"/>
    </row>
    <row r="41" spans="1:7" x14ac:dyDescent="0.35">
      <c r="A41" s="1" t="s">
        <v>11</v>
      </c>
      <c r="B41" s="64">
        <v>62000</v>
      </c>
      <c r="C41" s="64"/>
      <c r="D41" s="64"/>
      <c r="E41" s="5">
        <f t="shared" ref="E41:E50" si="3">AVERAGE(B41:B41)</f>
        <v>62000</v>
      </c>
      <c r="F41" s="36" t="s">
        <v>197</v>
      </c>
      <c r="G41" s="35"/>
    </row>
    <row r="42" spans="1:7" x14ac:dyDescent="0.35">
      <c r="A42" s="1" t="s">
        <v>171</v>
      </c>
      <c r="B42" s="64">
        <v>52000</v>
      </c>
      <c r="C42" s="64"/>
      <c r="D42" s="64"/>
      <c r="E42" s="5">
        <f t="shared" si="3"/>
        <v>52000</v>
      </c>
      <c r="F42" s="36" t="s">
        <v>198</v>
      </c>
      <c r="G42" s="35"/>
    </row>
    <row r="43" spans="1:7" x14ac:dyDescent="0.35">
      <c r="A43" s="1" t="s">
        <v>173</v>
      </c>
      <c r="B43" s="64">
        <f>AVERAGE(B41:B42)</f>
        <v>57000</v>
      </c>
      <c r="C43" s="64"/>
      <c r="D43" s="64"/>
      <c r="E43" s="5">
        <f t="shared" si="3"/>
        <v>57000</v>
      </c>
      <c r="F43" s="6"/>
      <c r="G43" s="35"/>
    </row>
    <row r="44" spans="1:7" x14ac:dyDescent="0.35">
      <c r="A44" s="1" t="s">
        <v>175</v>
      </c>
      <c r="B44" s="64">
        <v>73000</v>
      </c>
      <c r="C44" s="64"/>
      <c r="D44" s="64"/>
      <c r="E44" s="5">
        <f t="shared" si="3"/>
        <v>73000</v>
      </c>
      <c r="F44" s="6" t="s">
        <v>199</v>
      </c>
      <c r="G44" s="35"/>
    </row>
    <row r="45" spans="1:7" x14ac:dyDescent="0.35">
      <c r="A45" s="1" t="s">
        <v>177</v>
      </c>
      <c r="B45" s="64">
        <f t="shared" ref="B45:B49" si="4">AVERAGE(30, 49.26)*1440</f>
        <v>57067.199999999997</v>
      </c>
      <c r="C45" s="64"/>
      <c r="D45" s="64"/>
      <c r="E45" s="5">
        <f t="shared" si="3"/>
        <v>57067.199999999997</v>
      </c>
      <c r="F45" s="19" t="s">
        <v>200</v>
      </c>
      <c r="G45" s="35"/>
    </row>
    <row r="46" spans="1:7" x14ac:dyDescent="0.35">
      <c r="A46" s="1" t="s">
        <v>179</v>
      </c>
      <c r="B46" s="64">
        <f t="shared" si="4"/>
        <v>57067.199999999997</v>
      </c>
      <c r="C46" s="64"/>
      <c r="D46" s="64"/>
      <c r="E46" s="5">
        <f t="shared" si="3"/>
        <v>57067.199999999997</v>
      </c>
      <c r="F46" s="19"/>
      <c r="G46" s="35"/>
    </row>
    <row r="47" spans="1:7" x14ac:dyDescent="0.35">
      <c r="A47" s="1" t="s">
        <v>181</v>
      </c>
      <c r="B47" s="64">
        <f t="shared" si="4"/>
        <v>57067.199999999997</v>
      </c>
      <c r="C47" s="64"/>
      <c r="D47" s="64"/>
      <c r="E47" s="5">
        <f t="shared" si="3"/>
        <v>57067.199999999997</v>
      </c>
      <c r="F47" s="6"/>
      <c r="G47" s="35"/>
    </row>
    <row r="48" spans="1:7" x14ac:dyDescent="0.35">
      <c r="A48" s="1" t="s">
        <v>183</v>
      </c>
      <c r="B48" s="64">
        <f t="shared" si="4"/>
        <v>57067.199999999997</v>
      </c>
      <c r="C48" s="64"/>
      <c r="D48" s="64"/>
      <c r="E48" s="5">
        <f t="shared" si="3"/>
        <v>57067.199999999997</v>
      </c>
      <c r="F48" s="6"/>
      <c r="G48" s="35"/>
    </row>
    <row r="49" spans="1:7" x14ac:dyDescent="0.35">
      <c r="A49" s="1" t="s">
        <v>185</v>
      </c>
      <c r="B49" s="64">
        <f t="shared" si="4"/>
        <v>57067.199999999997</v>
      </c>
      <c r="C49" s="64"/>
      <c r="D49" s="64"/>
      <c r="E49" s="5">
        <f t="shared" si="3"/>
        <v>57067.199999999997</v>
      </c>
      <c r="F49" s="6"/>
      <c r="G49" s="35"/>
    </row>
    <row r="50" spans="1:7" x14ac:dyDescent="0.35">
      <c r="A50" s="1" t="s">
        <v>201</v>
      </c>
      <c r="B50" s="64">
        <f>27*1440</f>
        <v>38880</v>
      </c>
      <c r="C50" s="64"/>
      <c r="D50" s="64"/>
      <c r="E50" s="5">
        <f t="shared" si="3"/>
        <v>38880</v>
      </c>
    </row>
    <row r="53" spans="1:7" x14ac:dyDescent="0.35">
      <c r="A53" s="7" t="s">
        <v>40</v>
      </c>
    </row>
    <row r="54" spans="1:7" x14ac:dyDescent="0.35">
      <c r="B54" s="7" t="s">
        <v>165</v>
      </c>
      <c r="C54" s="7" t="s">
        <v>166</v>
      </c>
      <c r="D54" s="7" t="s">
        <v>167</v>
      </c>
      <c r="E54" s="7" t="s">
        <v>168</v>
      </c>
    </row>
    <row r="55" spans="1:7" x14ac:dyDescent="0.35">
      <c r="A55" s="1" t="s">
        <v>11</v>
      </c>
      <c r="B55" s="64">
        <f>49.86*1440</f>
        <v>71798.399999999994</v>
      </c>
      <c r="C55" s="64"/>
      <c r="D55" s="64"/>
      <c r="E55" s="5">
        <f t="shared" ref="E55:E64" si="5">AVERAGE(B55:B55)</f>
        <v>71798.399999999994</v>
      </c>
    </row>
    <row r="56" spans="1:7" x14ac:dyDescent="0.35">
      <c r="A56" s="1" t="s">
        <v>171</v>
      </c>
      <c r="B56" s="64">
        <f>50*1440</f>
        <v>72000</v>
      </c>
      <c r="C56" s="64"/>
      <c r="D56" s="64"/>
      <c r="E56" s="5">
        <f t="shared" si="5"/>
        <v>72000</v>
      </c>
    </row>
    <row r="57" spans="1:7" x14ac:dyDescent="0.35">
      <c r="A57" s="1" t="s">
        <v>173</v>
      </c>
      <c r="B57" s="64">
        <f>46.63*1440</f>
        <v>67147.199999999997</v>
      </c>
      <c r="C57" s="64"/>
      <c r="D57" s="64"/>
      <c r="E57" s="5">
        <f t="shared" si="5"/>
        <v>67147.199999999997</v>
      </c>
    </row>
    <row r="58" spans="1:7" x14ac:dyDescent="0.35">
      <c r="A58" s="1" t="s">
        <v>175</v>
      </c>
      <c r="B58" s="64">
        <f>44.87*1440</f>
        <v>64612.799999999996</v>
      </c>
      <c r="C58" s="64"/>
      <c r="D58" s="64"/>
      <c r="E58" s="5">
        <f t="shared" si="5"/>
        <v>64612.799999999996</v>
      </c>
    </row>
    <row r="59" spans="1:7" x14ac:dyDescent="0.35">
      <c r="A59" s="1" t="s">
        <v>177</v>
      </c>
      <c r="B59" s="64">
        <f>41.21*1440</f>
        <v>59342.400000000001</v>
      </c>
      <c r="C59" s="64"/>
      <c r="D59" s="64"/>
      <c r="E59" s="5">
        <f t="shared" si="5"/>
        <v>59342.400000000001</v>
      </c>
    </row>
    <row r="60" spans="1:7" x14ac:dyDescent="0.35">
      <c r="A60" s="1" t="s">
        <v>179</v>
      </c>
      <c r="B60" s="64">
        <f>43*1440</f>
        <v>61920</v>
      </c>
      <c r="C60" s="64"/>
      <c r="D60" s="64"/>
      <c r="E60" s="5">
        <f t="shared" si="5"/>
        <v>61920</v>
      </c>
    </row>
    <row r="61" spans="1:7" x14ac:dyDescent="0.35">
      <c r="A61" s="1" t="s">
        <v>181</v>
      </c>
      <c r="B61" s="64">
        <f>45*1440</f>
        <v>64800</v>
      </c>
      <c r="C61" s="64"/>
      <c r="D61" s="64"/>
      <c r="E61" s="5">
        <f t="shared" si="5"/>
        <v>64800</v>
      </c>
    </row>
    <row r="62" spans="1:7" x14ac:dyDescent="0.35">
      <c r="A62" s="1" t="s">
        <v>183</v>
      </c>
      <c r="B62" s="64">
        <f>42.03*1440</f>
        <v>60523.200000000004</v>
      </c>
      <c r="C62" s="64"/>
      <c r="D62" s="64"/>
      <c r="E62" s="5">
        <f t="shared" si="5"/>
        <v>60523.200000000004</v>
      </c>
    </row>
    <row r="63" spans="1:7" x14ac:dyDescent="0.35">
      <c r="A63" s="1" t="s">
        <v>185</v>
      </c>
      <c r="B63" s="64">
        <f>45*1440</f>
        <v>64800</v>
      </c>
      <c r="C63" s="64"/>
      <c r="D63" s="64"/>
      <c r="E63" s="5">
        <f t="shared" si="5"/>
        <v>64800</v>
      </c>
    </row>
    <row r="64" spans="1:7" x14ac:dyDescent="0.35">
      <c r="A64" s="1" t="s">
        <v>187</v>
      </c>
      <c r="B64" s="64">
        <f>AVERAGE(B60:B63)</f>
        <v>63010.8</v>
      </c>
      <c r="C64" s="64"/>
      <c r="D64" s="64"/>
      <c r="E64" s="5">
        <f t="shared" si="5"/>
        <v>63010.8</v>
      </c>
    </row>
  </sheetData>
  <protectedRanges>
    <protectedRange sqref="G3:G11 G16:G24 G29:G37 G41:G49 E3:E12 E16:E25 E41:E50 E55:E64 E29:E38" name="Range1_1"/>
  </protectedRanges>
  <hyperlinks>
    <hyperlink ref="F6" r:id="rId1" location="search=Ottawa%20Carleton%20District%20School%20Board" xr:uid="{35D65DD3-AE26-4BBA-8DB5-62E29A41D854}"/>
    <hyperlink ref="F3" r:id="rId2" xr:uid="{86629B00-96E1-4B90-84DB-88A3B2FE4984}"/>
    <hyperlink ref="F9" r:id="rId3" xr:uid="{26B93C01-81A3-4383-9333-0AAD71D4452A}"/>
    <hyperlink ref="F11" r:id="rId4" xr:uid="{398200FF-95F4-4067-AE65-DDE290CEC71F}"/>
    <hyperlink ref="F4" r:id="rId5" xr:uid="{E8CC9A8D-9E0C-4799-A429-C0F6B53E9EA9}"/>
    <hyperlink ref="F41" r:id="rId6" xr:uid="{4C1D2B16-9CDF-468E-9BEE-2589E5949DE1}"/>
    <hyperlink ref="F42" r:id="rId7" xr:uid="{7E25B4E1-6E67-475C-B449-A494C43EB382}"/>
    <hyperlink ref="F44" r:id="rId8" xr:uid="{D8E19897-4A29-42EE-9CD0-721D03FE7350}"/>
    <hyperlink ref="F45" r:id="rId9" location="salaire-horaire" xr:uid="{C6C81824-DB92-4C4E-B2B8-3050C684BDF3}"/>
    <hyperlink ref="F8" r:id="rId10" xr:uid="{70269A64-CBC4-46FD-BB22-AED28CDACF44}"/>
    <hyperlink ref="F5" r:id="rId11" xr:uid="{984FADD1-A21D-4354-AA3A-BF59729DA2D6}"/>
    <hyperlink ref="F19" r:id="rId12" location="search=Ottawa%20Carleton%20District%20School%20Board" xr:uid="{8CCD3103-0C23-47CA-8CEA-F00876F9C795}"/>
    <hyperlink ref="F16" r:id="rId13" xr:uid="{7ECE4CE8-0C35-475F-A52F-770B1BC3F036}"/>
    <hyperlink ref="F22" r:id="rId14" xr:uid="{EC84E5A5-05A7-4A9D-A1FF-3E599435D168}"/>
    <hyperlink ref="F24" r:id="rId15" xr:uid="{E2AEC197-9640-4E84-95DF-21A177BB62C9}"/>
    <hyperlink ref="F17" r:id="rId16" xr:uid="{84BCCE01-B457-46C0-858F-148F1310ED2A}"/>
    <hyperlink ref="F21" r:id="rId17" xr:uid="{83344A16-2B9C-4729-B62A-39355FC45A0E}"/>
    <hyperlink ref="F18" r:id="rId18" xr:uid="{E8F8F691-7D82-443F-A3BE-90109BAAA97B}"/>
    <hyperlink ref="F35" r:id="rId19" xr:uid="{2CF50E7A-611B-4C28-9283-3EBE3EE7D418}"/>
  </hyperlinks>
  <pageMargins left="0.7" right="0.7" top="0.75" bottom="0.75" header="0.3" footer="0.3"/>
  <pageSetup orientation="portrait" r:id="rId2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F9308-2A39-4097-8016-EC1108BF56EE}">
  <dimension ref="A1:F65"/>
  <sheetViews>
    <sheetView zoomScale="85" zoomScaleNormal="85" workbookViewId="0">
      <selection activeCell="E23" sqref="E23"/>
    </sheetView>
  </sheetViews>
  <sheetFormatPr defaultColWidth="9.1796875" defaultRowHeight="14.5" x14ac:dyDescent="0.35"/>
  <cols>
    <col min="1" max="1" width="21.81640625" style="1" customWidth="1"/>
    <col min="2" max="2" width="25.1796875" style="1" customWidth="1"/>
    <col min="3" max="3" width="27.81640625" style="1" customWidth="1"/>
    <col min="4" max="4" width="35.81640625" style="1" customWidth="1"/>
    <col min="5" max="5" width="184.54296875" style="1" bestFit="1" customWidth="1"/>
    <col min="6" max="6" width="52" style="1" bestFit="1" customWidth="1"/>
    <col min="7" max="16384" width="9.1796875" style="1"/>
  </cols>
  <sheetData>
    <row r="1" spans="1:6" x14ac:dyDescent="0.35">
      <c r="A1" s="7" t="s">
        <v>202</v>
      </c>
    </row>
    <row r="2" spans="1:6" x14ac:dyDescent="0.35">
      <c r="B2" s="21" t="s">
        <v>203</v>
      </c>
      <c r="C2" s="21" t="s">
        <v>204</v>
      </c>
      <c r="D2" s="21" t="s">
        <v>205</v>
      </c>
      <c r="E2" s="21" t="s">
        <v>206</v>
      </c>
      <c r="F2" s="21" t="s">
        <v>207</v>
      </c>
    </row>
    <row r="3" spans="1:6" ht="17.149999999999999" customHeight="1" x14ac:dyDescent="0.35">
      <c r="A3" s="1" t="s">
        <v>11</v>
      </c>
      <c r="B3" s="63">
        <v>2400</v>
      </c>
      <c r="C3" s="63">
        <v>2860</v>
      </c>
      <c r="D3" s="69">
        <f>AVERAGE(B3,C3)</f>
        <v>2630</v>
      </c>
      <c r="E3" s="62" t="s">
        <v>208</v>
      </c>
      <c r="F3" s="61" t="s">
        <v>209</v>
      </c>
    </row>
    <row r="4" spans="1:6" ht="17.149999999999999" customHeight="1" x14ac:dyDescent="0.35">
      <c r="A4" s="1" t="s">
        <v>171</v>
      </c>
      <c r="B4" s="63">
        <v>1980</v>
      </c>
      <c r="C4" s="63">
        <v>2200</v>
      </c>
      <c r="D4" s="69">
        <f t="shared" ref="D4:D12" si="0">AVERAGE(B4,C4)</f>
        <v>2090</v>
      </c>
      <c r="E4" s="61" t="s">
        <v>210</v>
      </c>
      <c r="F4" s="62" t="s">
        <v>211</v>
      </c>
    </row>
    <row r="5" spans="1:6" ht="17.149999999999999" customHeight="1" x14ac:dyDescent="0.35">
      <c r="A5" s="1" t="s">
        <v>173</v>
      </c>
      <c r="B5" s="63">
        <f>AVERAGE(1600, 3000)</f>
        <v>2300</v>
      </c>
      <c r="C5" s="63">
        <f>215*AVERAGE(11,20)</f>
        <v>3332.5</v>
      </c>
      <c r="D5" s="69">
        <f>AVERAGE(C5,B5)</f>
        <v>2816.25</v>
      </c>
      <c r="E5" s="62" t="s">
        <v>212</v>
      </c>
      <c r="F5" s="62" t="s">
        <v>213</v>
      </c>
    </row>
    <row r="6" spans="1:6" ht="17.149999999999999" customHeight="1" x14ac:dyDescent="0.35">
      <c r="A6" s="1" t="s">
        <v>175</v>
      </c>
      <c r="B6" s="63">
        <v>1950</v>
      </c>
      <c r="C6" s="63">
        <f>AVERAGE(2450, 3800)</f>
        <v>3125</v>
      </c>
      <c r="D6" s="69">
        <f>AVERAGE(B6,C6)</f>
        <v>2537.5</v>
      </c>
      <c r="E6" s="62" t="s">
        <v>214</v>
      </c>
      <c r="F6" s="62" t="s">
        <v>215</v>
      </c>
    </row>
    <row r="7" spans="1:6" ht="17.149999999999999" customHeight="1" x14ac:dyDescent="0.35">
      <c r="A7" s="1" t="s">
        <v>177</v>
      </c>
      <c r="B7" s="63">
        <f>AVERAGE(2000, 2500)</f>
        <v>2250</v>
      </c>
      <c r="C7" s="63">
        <v>3000</v>
      </c>
      <c r="D7" s="69">
        <f t="shared" si="0"/>
        <v>2625</v>
      </c>
      <c r="E7" s="62" t="s">
        <v>216</v>
      </c>
      <c r="F7" s="61" t="s">
        <v>217</v>
      </c>
    </row>
    <row r="8" spans="1:6" ht="17.149999999999999" customHeight="1" x14ac:dyDescent="0.35">
      <c r="A8" s="1" t="s">
        <v>179</v>
      </c>
      <c r="B8" s="63">
        <f>210*AVERAGE(11, 20)</f>
        <v>3255</v>
      </c>
      <c r="C8" s="63">
        <f>220*AVERAGE(11,20)</f>
        <v>3410</v>
      </c>
      <c r="D8" s="69">
        <f t="shared" si="0"/>
        <v>3332.5</v>
      </c>
      <c r="E8" s="61" t="s">
        <v>218</v>
      </c>
      <c r="F8" s="61" t="s">
        <v>219</v>
      </c>
    </row>
    <row r="9" spans="1:6" ht="17.149999999999999" customHeight="1" x14ac:dyDescent="0.35">
      <c r="A9" s="1" t="s">
        <v>181</v>
      </c>
      <c r="B9" s="63"/>
      <c r="C9" s="63"/>
      <c r="D9" s="69"/>
    </row>
    <row r="10" spans="1:6" ht="17.149999999999999" customHeight="1" x14ac:dyDescent="0.35">
      <c r="A10" s="1" t="s">
        <v>183</v>
      </c>
      <c r="B10" s="63"/>
      <c r="C10" s="63"/>
      <c r="D10" s="69"/>
    </row>
    <row r="11" spans="1:6" ht="17.149999999999999" customHeight="1" x14ac:dyDescent="0.35">
      <c r="A11" s="1" t="s">
        <v>185</v>
      </c>
      <c r="B11" s="63"/>
      <c r="C11" s="63"/>
      <c r="D11" s="69"/>
    </row>
    <row r="12" spans="1:6" ht="17.149999999999999" customHeight="1" x14ac:dyDescent="0.35">
      <c r="A12" s="1" t="s">
        <v>187</v>
      </c>
      <c r="B12" s="63">
        <f>B8</f>
        <v>3255</v>
      </c>
      <c r="C12" s="63">
        <f>C8</f>
        <v>3410</v>
      </c>
      <c r="D12" s="69">
        <f t="shared" si="0"/>
        <v>3332.5</v>
      </c>
    </row>
    <row r="14" spans="1:6" x14ac:dyDescent="0.35">
      <c r="A14" s="7" t="s">
        <v>220</v>
      </c>
    </row>
    <row r="15" spans="1:6" x14ac:dyDescent="0.35">
      <c r="B15" s="21" t="s">
        <v>221</v>
      </c>
      <c r="C15" s="21" t="s">
        <v>222</v>
      </c>
      <c r="D15" s="21" t="s">
        <v>223</v>
      </c>
      <c r="E15" s="21" t="s">
        <v>169</v>
      </c>
    </row>
    <row r="16" spans="1:6" x14ac:dyDescent="0.35">
      <c r="A16" s="1" t="s">
        <v>11</v>
      </c>
      <c r="B16" s="63">
        <v>85</v>
      </c>
      <c r="C16" s="63">
        <v>140</v>
      </c>
      <c r="D16" s="69">
        <f>AVERAGE(B16,C16)</f>
        <v>112.5</v>
      </c>
      <c r="E16" s="71" t="s">
        <v>224</v>
      </c>
    </row>
    <row r="17" spans="1:5" x14ac:dyDescent="0.35">
      <c r="A17" s="1" t="s">
        <v>171</v>
      </c>
      <c r="B17" s="63">
        <v>66</v>
      </c>
      <c r="C17" s="63">
        <v>150</v>
      </c>
      <c r="D17" s="69">
        <f t="shared" ref="D17:D24" si="1">AVERAGE(B17,C17)</f>
        <v>108</v>
      </c>
      <c r="E17" s="67"/>
    </row>
    <row r="18" spans="1:5" x14ac:dyDescent="0.35">
      <c r="A18" s="1" t="s">
        <v>173</v>
      </c>
      <c r="B18" s="63">
        <v>58</v>
      </c>
      <c r="C18" s="63">
        <v>92</v>
      </c>
      <c r="D18" s="69">
        <f t="shared" si="1"/>
        <v>75</v>
      </c>
      <c r="E18" s="67"/>
    </row>
    <row r="19" spans="1:5" x14ac:dyDescent="0.35">
      <c r="A19" s="1" t="s">
        <v>175</v>
      </c>
      <c r="B19" s="63">
        <v>90</v>
      </c>
      <c r="C19" s="63">
        <v>160</v>
      </c>
      <c r="D19" s="69">
        <f t="shared" si="1"/>
        <v>125</v>
      </c>
      <c r="E19" s="67"/>
    </row>
    <row r="20" spans="1:5" x14ac:dyDescent="0.35">
      <c r="A20" s="1" t="s">
        <v>177</v>
      </c>
      <c r="B20" s="63">
        <v>80</v>
      </c>
      <c r="C20" s="63">
        <v>150</v>
      </c>
      <c r="D20" s="69">
        <f t="shared" si="1"/>
        <v>115</v>
      </c>
    </row>
    <row r="21" spans="1:5" x14ac:dyDescent="0.35">
      <c r="A21" s="1" t="s">
        <v>179</v>
      </c>
      <c r="B21" s="63">
        <v>70</v>
      </c>
      <c r="C21" s="63">
        <v>145</v>
      </c>
      <c r="D21" s="69">
        <f t="shared" si="1"/>
        <v>107.5</v>
      </c>
      <c r="E21" s="68"/>
    </row>
    <row r="22" spans="1:5" x14ac:dyDescent="0.35">
      <c r="A22" s="1" t="s">
        <v>181</v>
      </c>
      <c r="B22" s="63">
        <v>70</v>
      </c>
      <c r="C22" s="63">
        <v>140</v>
      </c>
      <c r="D22" s="69">
        <f t="shared" si="1"/>
        <v>105</v>
      </c>
    </row>
    <row r="23" spans="1:5" x14ac:dyDescent="0.35">
      <c r="A23" s="1" t="s">
        <v>183</v>
      </c>
      <c r="B23" s="63">
        <v>65</v>
      </c>
      <c r="C23" s="63">
        <v>110</v>
      </c>
      <c r="D23" s="69">
        <f t="shared" si="1"/>
        <v>87.5</v>
      </c>
    </row>
    <row r="24" spans="1:5" x14ac:dyDescent="0.35">
      <c r="A24" s="1" t="s">
        <v>185</v>
      </c>
      <c r="B24" s="63">
        <v>75</v>
      </c>
      <c r="C24" s="63">
        <v>95</v>
      </c>
      <c r="D24" s="69">
        <f t="shared" si="1"/>
        <v>85</v>
      </c>
    </row>
    <row r="25" spans="1:5" x14ac:dyDescent="0.35">
      <c r="A25" s="1" t="s">
        <v>187</v>
      </c>
      <c r="B25" s="63"/>
      <c r="C25" s="63"/>
      <c r="D25" s="69">
        <f>AVERAGE(D21:D24)</f>
        <v>96.25</v>
      </c>
    </row>
    <row r="27" spans="1:5" x14ac:dyDescent="0.35">
      <c r="A27" s="7" t="s">
        <v>225</v>
      </c>
    </row>
    <row r="28" spans="1:5" x14ac:dyDescent="0.35">
      <c r="B28" s="21" t="s">
        <v>221</v>
      </c>
      <c r="C28" s="21" t="s">
        <v>222</v>
      </c>
      <c r="D28" s="21" t="s">
        <v>223</v>
      </c>
      <c r="E28" s="21" t="s">
        <v>169</v>
      </c>
    </row>
    <row r="29" spans="1:5" x14ac:dyDescent="0.35">
      <c r="A29" s="1" t="s">
        <v>11</v>
      </c>
      <c r="B29" s="63">
        <v>120</v>
      </c>
      <c r="C29" s="63">
        <v>200</v>
      </c>
      <c r="D29" s="69">
        <f>AVERAGE(B29,C29)</f>
        <v>160</v>
      </c>
      <c r="E29" s="71" t="s">
        <v>224</v>
      </c>
    </row>
    <row r="30" spans="1:5" x14ac:dyDescent="0.35">
      <c r="A30" s="1" t="s">
        <v>171</v>
      </c>
      <c r="B30" s="63">
        <v>90</v>
      </c>
      <c r="C30" s="63">
        <v>155</v>
      </c>
      <c r="D30" s="69">
        <f t="shared" ref="D30:D37" si="2">AVERAGE(B30,C30)</f>
        <v>122.5</v>
      </c>
    </row>
    <row r="31" spans="1:5" x14ac:dyDescent="0.35">
      <c r="A31" s="1" t="s">
        <v>173</v>
      </c>
      <c r="B31" s="63">
        <v>120</v>
      </c>
      <c r="C31" s="63">
        <v>140</v>
      </c>
      <c r="D31" s="69">
        <f t="shared" si="2"/>
        <v>130</v>
      </c>
    </row>
    <row r="32" spans="1:5" x14ac:dyDescent="0.35">
      <c r="A32" s="1" t="s">
        <v>175</v>
      </c>
      <c r="B32" s="63">
        <v>100</v>
      </c>
      <c r="C32" s="63">
        <v>180</v>
      </c>
      <c r="D32" s="69">
        <f t="shared" si="2"/>
        <v>140</v>
      </c>
    </row>
    <row r="33" spans="1:5" x14ac:dyDescent="0.35">
      <c r="A33" s="1" t="s">
        <v>177</v>
      </c>
      <c r="B33" s="63">
        <v>110</v>
      </c>
      <c r="C33" s="63">
        <v>150</v>
      </c>
      <c r="D33" s="69">
        <f t="shared" si="2"/>
        <v>130</v>
      </c>
    </row>
    <row r="34" spans="1:5" x14ac:dyDescent="0.35">
      <c r="A34" s="1" t="s">
        <v>179</v>
      </c>
      <c r="B34" s="63">
        <v>70</v>
      </c>
      <c r="C34" s="63">
        <v>150</v>
      </c>
      <c r="D34" s="69">
        <f t="shared" si="2"/>
        <v>110</v>
      </c>
    </row>
    <row r="35" spans="1:5" x14ac:dyDescent="0.35">
      <c r="A35" s="1" t="s">
        <v>181</v>
      </c>
      <c r="B35" s="63">
        <v>100</v>
      </c>
      <c r="C35" s="63">
        <v>150</v>
      </c>
      <c r="D35" s="69">
        <f t="shared" si="2"/>
        <v>125</v>
      </c>
    </row>
    <row r="36" spans="1:5" x14ac:dyDescent="0.35">
      <c r="A36" s="1" t="s">
        <v>183</v>
      </c>
      <c r="B36" s="63">
        <v>85</v>
      </c>
      <c r="C36" s="63">
        <v>85</v>
      </c>
      <c r="D36" s="69">
        <f t="shared" si="2"/>
        <v>85</v>
      </c>
    </row>
    <row r="37" spans="1:5" x14ac:dyDescent="0.35">
      <c r="A37" s="1" t="s">
        <v>185</v>
      </c>
      <c r="B37" s="63">
        <v>80</v>
      </c>
      <c r="C37" s="63">
        <v>180</v>
      </c>
      <c r="D37" s="69">
        <f t="shared" si="2"/>
        <v>130</v>
      </c>
    </row>
    <row r="38" spans="1:5" x14ac:dyDescent="0.35">
      <c r="A38" s="1" t="s">
        <v>187</v>
      </c>
      <c r="B38" s="63"/>
      <c r="C38" s="63"/>
      <c r="D38" s="69">
        <f>AVERAGE(D34:D37)</f>
        <v>112.5</v>
      </c>
    </row>
    <row r="40" spans="1:5" x14ac:dyDescent="0.35">
      <c r="A40" s="7" t="s">
        <v>226</v>
      </c>
    </row>
    <row r="41" spans="1:5" x14ac:dyDescent="0.35">
      <c r="B41" s="21" t="s">
        <v>221</v>
      </c>
      <c r="C41" s="21" t="s">
        <v>222</v>
      </c>
      <c r="D41" s="21" t="s">
        <v>223</v>
      </c>
      <c r="E41" s="21" t="s">
        <v>169</v>
      </c>
    </row>
    <row r="42" spans="1:5" x14ac:dyDescent="0.35">
      <c r="A42" s="1" t="s">
        <v>11</v>
      </c>
      <c r="B42" s="63">
        <v>135</v>
      </c>
      <c r="C42" s="63">
        <v>150</v>
      </c>
      <c r="D42" s="69">
        <f>AVERAGE(B42,C42)</f>
        <v>142.5</v>
      </c>
      <c r="E42" s="71" t="s">
        <v>224</v>
      </c>
    </row>
    <row r="43" spans="1:5" x14ac:dyDescent="0.35">
      <c r="A43" s="1" t="s">
        <v>171</v>
      </c>
      <c r="B43" s="63">
        <v>90</v>
      </c>
      <c r="C43" s="63">
        <v>140</v>
      </c>
      <c r="D43" s="69">
        <f t="shared" ref="D43:D50" si="3">AVERAGE(B43,C43)</f>
        <v>115</v>
      </c>
    </row>
    <row r="44" spans="1:5" x14ac:dyDescent="0.35">
      <c r="A44" s="1" t="s">
        <v>173</v>
      </c>
      <c r="B44" s="63">
        <v>120</v>
      </c>
      <c r="C44" s="63">
        <v>165</v>
      </c>
      <c r="D44" s="69">
        <f t="shared" si="3"/>
        <v>142.5</v>
      </c>
    </row>
    <row r="45" spans="1:5" x14ac:dyDescent="0.35">
      <c r="A45" s="1" t="s">
        <v>175</v>
      </c>
      <c r="B45" s="63">
        <v>100</v>
      </c>
      <c r="C45" s="63">
        <v>170</v>
      </c>
      <c r="D45" s="69">
        <f t="shared" si="3"/>
        <v>135</v>
      </c>
    </row>
    <row r="46" spans="1:5" x14ac:dyDescent="0.35">
      <c r="A46" s="1" t="s">
        <v>177</v>
      </c>
      <c r="B46" s="63">
        <v>120</v>
      </c>
      <c r="C46" s="63">
        <v>140</v>
      </c>
      <c r="D46" s="69">
        <f t="shared" si="3"/>
        <v>130</v>
      </c>
    </row>
    <row r="47" spans="1:5" x14ac:dyDescent="0.35">
      <c r="A47" s="1" t="s">
        <v>179</v>
      </c>
      <c r="B47" s="63">
        <v>95</v>
      </c>
      <c r="C47" s="63">
        <v>145</v>
      </c>
      <c r="D47" s="69">
        <f t="shared" si="3"/>
        <v>120</v>
      </c>
    </row>
    <row r="48" spans="1:5" x14ac:dyDescent="0.35">
      <c r="A48" s="1" t="s">
        <v>181</v>
      </c>
      <c r="B48" s="63">
        <v>120</v>
      </c>
      <c r="C48" s="63">
        <v>140</v>
      </c>
      <c r="D48" s="69">
        <f t="shared" si="3"/>
        <v>130</v>
      </c>
    </row>
    <row r="49" spans="1:5" x14ac:dyDescent="0.35">
      <c r="A49" s="1" t="s">
        <v>183</v>
      </c>
      <c r="B49" s="63">
        <v>100</v>
      </c>
      <c r="C49" s="63">
        <v>115</v>
      </c>
      <c r="D49" s="69">
        <f t="shared" si="3"/>
        <v>107.5</v>
      </c>
    </row>
    <row r="50" spans="1:5" x14ac:dyDescent="0.35">
      <c r="A50" s="1" t="s">
        <v>185</v>
      </c>
      <c r="B50" s="63">
        <v>100</v>
      </c>
      <c r="C50" s="63">
        <v>140</v>
      </c>
      <c r="D50" s="69">
        <f t="shared" si="3"/>
        <v>120</v>
      </c>
    </row>
    <row r="51" spans="1:5" x14ac:dyDescent="0.35">
      <c r="A51" s="1" t="s">
        <v>187</v>
      </c>
      <c r="B51" s="63"/>
      <c r="C51" s="63"/>
      <c r="D51" s="69">
        <f>AVERAGE(D47:D50)</f>
        <v>119.375</v>
      </c>
    </row>
    <row r="53" spans="1:5" x14ac:dyDescent="0.35">
      <c r="A53" s="7" t="s">
        <v>227</v>
      </c>
    </row>
    <row r="55" spans="1:5" x14ac:dyDescent="0.35">
      <c r="B55" s="21" t="s">
        <v>221</v>
      </c>
      <c r="C55" s="21" t="s">
        <v>222</v>
      </c>
      <c r="D55" s="21" t="s">
        <v>223</v>
      </c>
      <c r="E55" s="21" t="s">
        <v>169</v>
      </c>
    </row>
    <row r="56" spans="1:5" x14ac:dyDescent="0.35">
      <c r="A56" s="1" t="s">
        <v>11</v>
      </c>
      <c r="B56" s="63">
        <v>175</v>
      </c>
      <c r="C56" s="63">
        <v>200</v>
      </c>
      <c r="D56" s="69">
        <f>AVERAGE(B56,C56)</f>
        <v>187.5</v>
      </c>
      <c r="E56" s="71" t="s">
        <v>224</v>
      </c>
    </row>
    <row r="57" spans="1:5" x14ac:dyDescent="0.35">
      <c r="A57" s="1" t="s">
        <v>171</v>
      </c>
      <c r="B57" s="63">
        <v>140</v>
      </c>
      <c r="C57" s="63">
        <v>200</v>
      </c>
      <c r="D57" s="69">
        <f t="shared" ref="D57:D64" si="4">AVERAGE(B57,C57)</f>
        <v>170</v>
      </c>
    </row>
    <row r="58" spans="1:5" x14ac:dyDescent="0.35">
      <c r="A58" s="1" t="s">
        <v>173</v>
      </c>
      <c r="B58" s="63">
        <v>150</v>
      </c>
      <c r="C58" s="63">
        <v>215</v>
      </c>
      <c r="D58" s="69">
        <f t="shared" si="4"/>
        <v>182.5</v>
      </c>
    </row>
    <row r="59" spans="1:5" x14ac:dyDescent="0.35">
      <c r="A59" s="1" t="s">
        <v>175</v>
      </c>
      <c r="B59" s="63">
        <v>175</v>
      </c>
      <c r="C59" s="63">
        <v>275</v>
      </c>
      <c r="D59" s="69">
        <f t="shared" si="4"/>
        <v>225</v>
      </c>
    </row>
    <row r="60" spans="1:5" x14ac:dyDescent="0.35">
      <c r="A60" s="1" t="s">
        <v>177</v>
      </c>
      <c r="B60" s="63">
        <v>170</v>
      </c>
      <c r="C60" s="63">
        <v>220</v>
      </c>
      <c r="D60" s="69">
        <f t="shared" si="4"/>
        <v>195</v>
      </c>
    </row>
    <row r="61" spans="1:5" x14ac:dyDescent="0.35">
      <c r="A61" s="1" t="s">
        <v>179</v>
      </c>
      <c r="B61" s="63">
        <v>140</v>
      </c>
      <c r="C61" s="63">
        <v>220</v>
      </c>
      <c r="D61" s="69">
        <f t="shared" si="4"/>
        <v>180</v>
      </c>
    </row>
    <row r="62" spans="1:5" x14ac:dyDescent="0.35">
      <c r="A62" s="1" t="s">
        <v>181</v>
      </c>
      <c r="B62" s="63">
        <v>190</v>
      </c>
      <c r="C62" s="63">
        <v>210</v>
      </c>
      <c r="D62" s="69">
        <f t="shared" si="4"/>
        <v>200</v>
      </c>
    </row>
    <row r="63" spans="1:5" x14ac:dyDescent="0.35">
      <c r="A63" s="1" t="s">
        <v>183</v>
      </c>
      <c r="B63" s="63">
        <v>120</v>
      </c>
      <c r="C63" s="63">
        <v>210</v>
      </c>
      <c r="D63" s="69">
        <f t="shared" si="4"/>
        <v>165</v>
      </c>
    </row>
    <row r="64" spans="1:5" x14ac:dyDescent="0.35">
      <c r="A64" s="1" t="s">
        <v>185</v>
      </c>
      <c r="B64" s="63">
        <v>140</v>
      </c>
      <c r="C64" s="63">
        <v>210</v>
      </c>
      <c r="D64" s="69">
        <f t="shared" si="4"/>
        <v>175</v>
      </c>
    </row>
    <row r="65" spans="1:4" x14ac:dyDescent="0.35">
      <c r="A65" s="1" t="s">
        <v>187</v>
      </c>
      <c r="B65" s="63"/>
      <c r="C65" s="63"/>
      <c r="D65" s="69">
        <f>AVERAGE(D61:D64)</f>
        <v>180</v>
      </c>
    </row>
  </sheetData>
  <hyperlinks>
    <hyperlink ref="E3" r:id="rId1" location="how-much-does-an-assessment-cost" xr:uid="{78BECD84-EE64-4679-B29B-B8AB3A636FB3}"/>
    <hyperlink ref="F3" r:id="rId2" xr:uid="{B0DFCBA4-493C-4406-9311-888C035E23E2}"/>
    <hyperlink ref="F4" r:id="rId3" xr:uid="{D53634CA-7CAC-4853-8A05-C6C05E783606}"/>
    <hyperlink ref="E5" r:id="rId4" location=":~:text=A%20psychoeducational%20assessment%20can%20range,depending%20on%20the%20psychologist's%20rates." xr:uid="{C2C65D23-7E8C-4B35-A6CD-4BCD447795FD}"/>
    <hyperlink ref="F5" r:id="rId5" xr:uid="{97B5AFF9-7871-41CD-9EF3-7582501FA6FD}"/>
    <hyperlink ref="E6" r:id="rId6" location=":~:text=How%20much%20does%20the%20assessment,can%20range%20from%20%242%2C450%20%2D%20%243%2C800." xr:uid="{AE1A44CD-AA8D-4D47-9C01-989F015C4CF9}"/>
    <hyperlink ref="F6" r:id="rId7" xr:uid="{F5CEBDA5-A173-4326-9EF4-28A027546E58}"/>
    <hyperlink ref="E4" r:id="rId8" xr:uid="{F6D31349-998B-4F0E-AC37-C37E9B5B39A4}"/>
    <hyperlink ref="E7" r:id="rId9" xr:uid="{6BEE5CC5-5645-49FE-96C3-BD321CD2543C}"/>
    <hyperlink ref="E8" r:id="rId10" xr:uid="{D31A19EF-8C18-497F-A934-174957D054E2}"/>
    <hyperlink ref="F8" r:id="rId11" xr:uid="{A1F6A95B-D3AD-450C-ACD5-4D6777B5694B}"/>
    <hyperlink ref="F7" r:id="rId12" xr:uid="{C0C875EA-EC48-4D3F-A0CF-E954D697232A}"/>
  </hyperlinks>
  <pageMargins left="0.7" right="0.7" top="0.75" bottom="0.75" header="0.3" footer="0.3"/>
  <pageSetup orientation="portrait" r:id="rId1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66558-A61F-465A-9C27-912ECB361194}">
  <dimension ref="A2:B18"/>
  <sheetViews>
    <sheetView zoomScale="85" zoomScaleNormal="85" workbookViewId="0"/>
  </sheetViews>
  <sheetFormatPr defaultColWidth="8.81640625" defaultRowHeight="14.5" x14ac:dyDescent="0.35"/>
  <cols>
    <col min="1" max="1" width="34.54296875" style="1" customWidth="1"/>
    <col min="2" max="2" width="24.54296875" style="1" bestFit="1" customWidth="1"/>
    <col min="3" max="3" width="23.81640625" style="1" customWidth="1"/>
    <col min="4" max="16384" width="8.81640625" style="1"/>
  </cols>
  <sheetData>
    <row r="2" spans="1:2" x14ac:dyDescent="0.35">
      <c r="B2" s="7" t="s">
        <v>228</v>
      </c>
    </row>
    <row r="3" spans="1:2" x14ac:dyDescent="0.35">
      <c r="A3" s="7" t="s">
        <v>125</v>
      </c>
    </row>
    <row r="4" spans="1:2" x14ac:dyDescent="0.35">
      <c r="A4" s="7" t="s">
        <v>129</v>
      </c>
    </row>
    <row r="5" spans="1:2" x14ac:dyDescent="0.35">
      <c r="A5" s="77" t="s">
        <v>130</v>
      </c>
      <c r="B5" s="63">
        <v>3000</v>
      </c>
    </row>
    <row r="6" spans="1:2" x14ac:dyDescent="0.35">
      <c r="A6" s="77" t="s">
        <v>131</v>
      </c>
      <c r="B6" s="63">
        <v>600</v>
      </c>
    </row>
    <row r="7" spans="1:2" x14ac:dyDescent="0.35">
      <c r="A7" s="77" t="s">
        <v>132</v>
      </c>
      <c r="B7" s="63">
        <v>800</v>
      </c>
    </row>
    <row r="8" spans="1:2" x14ac:dyDescent="0.35">
      <c r="A8" s="77" t="s">
        <v>133</v>
      </c>
      <c r="B8" s="63">
        <v>2000</v>
      </c>
    </row>
    <row r="9" spans="1:2" x14ac:dyDescent="0.35">
      <c r="A9" s="77" t="s">
        <v>134</v>
      </c>
      <c r="B9" s="63">
        <v>800</v>
      </c>
    </row>
    <row r="10" spans="1:2" x14ac:dyDescent="0.35">
      <c r="A10" s="77" t="s">
        <v>135</v>
      </c>
      <c r="B10" s="63">
        <v>250</v>
      </c>
    </row>
    <row r="11" spans="1:2" x14ac:dyDescent="0.35">
      <c r="A11" s="77" t="s">
        <v>136</v>
      </c>
      <c r="B11" s="63">
        <v>500</v>
      </c>
    </row>
    <row r="12" spans="1:2" x14ac:dyDescent="0.35">
      <c r="A12" s="81" t="s">
        <v>229</v>
      </c>
      <c r="B12" s="76">
        <f>SUM(B5:B11)</f>
        <v>7950</v>
      </c>
    </row>
    <row r="14" spans="1:2" x14ac:dyDescent="0.35">
      <c r="B14" s="7" t="s">
        <v>230</v>
      </c>
    </row>
    <row r="15" spans="1:2" x14ac:dyDescent="0.35">
      <c r="A15" s="7" t="s">
        <v>137</v>
      </c>
    </row>
    <row r="16" spans="1:2" x14ac:dyDescent="0.35">
      <c r="A16" s="77" t="s">
        <v>138</v>
      </c>
      <c r="B16" s="79">
        <v>6000</v>
      </c>
    </row>
    <row r="17" spans="1:2" x14ac:dyDescent="0.35">
      <c r="A17" s="77" t="s">
        <v>139</v>
      </c>
      <c r="B17" s="63">
        <v>5000</v>
      </c>
    </row>
    <row r="18" spans="1:2" x14ac:dyDescent="0.35">
      <c r="A18" s="81" t="s">
        <v>229</v>
      </c>
      <c r="B18" s="78">
        <f>SUM(B16:B17)</f>
        <v>11000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B618-7092-4E91-BD5F-B7D0723033D9}">
  <dimension ref="A2:B7"/>
  <sheetViews>
    <sheetView zoomScale="85" zoomScaleNormal="85" workbookViewId="0"/>
  </sheetViews>
  <sheetFormatPr defaultColWidth="8.81640625" defaultRowHeight="14.5" x14ac:dyDescent="0.35"/>
  <cols>
    <col min="1" max="1" width="46.81640625" style="1" bestFit="1" customWidth="1"/>
    <col min="2" max="2" width="11.81640625" style="1" bestFit="1" customWidth="1"/>
    <col min="3" max="16384" width="8.81640625" style="1"/>
  </cols>
  <sheetData>
    <row r="2" spans="1:2" x14ac:dyDescent="0.35">
      <c r="A2" s="7" t="s">
        <v>51</v>
      </c>
      <c r="B2" s="7" t="s">
        <v>231</v>
      </c>
    </row>
    <row r="3" spans="1:2" x14ac:dyDescent="0.35">
      <c r="A3" s="77" t="s">
        <v>122</v>
      </c>
      <c r="B3" s="63">
        <f>250*180</f>
        <v>45000</v>
      </c>
    </row>
    <row r="6" spans="1:2" x14ac:dyDescent="0.35">
      <c r="A6" s="7" t="s">
        <v>52</v>
      </c>
      <c r="B6" s="7" t="s">
        <v>231</v>
      </c>
    </row>
    <row r="7" spans="1:2" x14ac:dyDescent="0.35">
      <c r="A7" s="77" t="s">
        <v>123</v>
      </c>
      <c r="B7" s="79">
        <v>25000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39006-C6A9-46BA-9B14-6D82A2DDAC67}">
  <dimension ref="A1:B14"/>
  <sheetViews>
    <sheetView zoomScale="85" zoomScaleNormal="85" workbookViewId="0"/>
  </sheetViews>
  <sheetFormatPr defaultColWidth="8.81640625" defaultRowHeight="14.5" x14ac:dyDescent="0.35"/>
  <cols>
    <col min="1" max="1" width="59.1796875" style="1" customWidth="1"/>
    <col min="2" max="2" width="70" style="1" customWidth="1"/>
    <col min="3" max="3" width="8.81640625" style="1"/>
    <col min="4" max="4" width="16.453125" style="1" bestFit="1" customWidth="1"/>
    <col min="5" max="16384" width="8.81640625" style="1"/>
  </cols>
  <sheetData>
    <row r="1" spans="1:2" x14ac:dyDescent="0.35">
      <c r="A1" s="7" t="s">
        <v>53</v>
      </c>
    </row>
    <row r="2" spans="1:2" x14ac:dyDescent="0.35">
      <c r="B2" s="7" t="s">
        <v>232</v>
      </c>
    </row>
    <row r="3" spans="1:2" x14ac:dyDescent="0.35">
      <c r="A3" s="7" t="s">
        <v>54</v>
      </c>
      <c r="B3" s="76"/>
    </row>
    <row r="4" spans="1:2" x14ac:dyDescent="0.35">
      <c r="A4" s="77" t="s">
        <v>146</v>
      </c>
      <c r="B4" s="101">
        <v>2000</v>
      </c>
    </row>
    <row r="5" spans="1:2" x14ac:dyDescent="0.35">
      <c r="A5" s="77" t="s">
        <v>233</v>
      </c>
      <c r="B5" s="101" t="s">
        <v>234</v>
      </c>
    </row>
    <row r="6" spans="1:2" x14ac:dyDescent="0.35">
      <c r="A6" s="77" t="s">
        <v>38</v>
      </c>
      <c r="B6" s="101" t="s">
        <v>235</v>
      </c>
    </row>
    <row r="7" spans="1:2" x14ac:dyDescent="0.35">
      <c r="A7" s="77"/>
      <c r="B7" s="76"/>
    </row>
    <row r="9" spans="1:2" x14ac:dyDescent="0.35">
      <c r="B9" s="21" t="s">
        <v>236</v>
      </c>
    </row>
    <row r="10" spans="1:2" x14ac:dyDescent="0.35">
      <c r="A10" s="86" t="s">
        <v>56</v>
      </c>
      <c r="B10" s="63">
        <v>20000</v>
      </c>
    </row>
    <row r="11" spans="1:2" x14ac:dyDescent="0.35">
      <c r="A11" s="7" t="s">
        <v>57</v>
      </c>
      <c r="B11" s="63">
        <f>200*3</f>
        <v>600</v>
      </c>
    </row>
    <row r="14" spans="1:2" x14ac:dyDescent="0.35">
      <c r="B14" s="76"/>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C9961-E33C-4A12-9B21-AAAC24798063}">
  <dimension ref="A1:H579"/>
  <sheetViews>
    <sheetView zoomScale="85" zoomScaleNormal="85" workbookViewId="0"/>
  </sheetViews>
  <sheetFormatPr defaultColWidth="8.81640625" defaultRowHeight="14.5" x14ac:dyDescent="0.35"/>
  <cols>
    <col min="1" max="1" width="30.81640625" customWidth="1"/>
    <col min="2" max="2" width="25.81640625" customWidth="1"/>
    <col min="3" max="3" width="22.81640625" customWidth="1"/>
    <col min="4" max="4" width="15.81640625" customWidth="1"/>
    <col min="5" max="5" width="32.1796875" customWidth="1"/>
    <col min="6" max="6" width="39.81640625" customWidth="1"/>
    <col min="7" max="7" width="10.81640625" customWidth="1"/>
    <col min="8" max="8" width="22.54296875" customWidth="1"/>
  </cols>
  <sheetData>
    <row r="1" spans="1:8" s="1" customFormat="1" ht="37.4" customHeight="1" x14ac:dyDescent="0.35">
      <c r="A1" s="4" t="s">
        <v>237</v>
      </c>
      <c r="B1" s="4" t="s">
        <v>238</v>
      </c>
      <c r="C1" s="4" t="s">
        <v>239</v>
      </c>
      <c r="D1" s="4" t="s">
        <v>240</v>
      </c>
      <c r="E1" s="4" t="s">
        <v>241</v>
      </c>
      <c r="F1" s="4" t="s">
        <v>242</v>
      </c>
      <c r="G1" s="4" t="s">
        <v>243</v>
      </c>
      <c r="H1" s="4" t="s">
        <v>16</v>
      </c>
    </row>
    <row r="2" spans="1:8" s="1" customFormat="1" x14ac:dyDescent="0.35">
      <c r="A2" s="1" t="s">
        <v>244</v>
      </c>
      <c r="B2" s="1" t="s">
        <v>187</v>
      </c>
      <c r="C2" s="1">
        <v>273</v>
      </c>
      <c r="D2" s="1">
        <v>3</v>
      </c>
      <c r="E2" s="1" t="s">
        <v>245</v>
      </c>
      <c r="F2" s="1">
        <v>0.33550000000000002</v>
      </c>
      <c r="G2" s="1">
        <v>0</v>
      </c>
      <c r="H2" s="2">
        <v>0.24199999999999999</v>
      </c>
    </row>
    <row r="3" spans="1:8" s="1" customFormat="1" x14ac:dyDescent="0.35">
      <c r="A3" s="1" t="s">
        <v>246</v>
      </c>
      <c r="B3" s="1" t="s">
        <v>187</v>
      </c>
      <c r="C3" s="1">
        <v>323</v>
      </c>
      <c r="D3" s="1">
        <v>1</v>
      </c>
      <c r="E3" s="1" t="s">
        <v>245</v>
      </c>
      <c r="F3" s="1">
        <v>0.37940000000000002</v>
      </c>
      <c r="G3" s="1">
        <v>0</v>
      </c>
      <c r="H3" s="2">
        <v>0.27400000000000002</v>
      </c>
    </row>
    <row r="4" spans="1:8" s="1" customFormat="1" x14ac:dyDescent="0.35">
      <c r="A4" s="1" t="s">
        <v>247</v>
      </c>
      <c r="B4" s="1" t="s">
        <v>187</v>
      </c>
      <c r="C4" s="3">
        <v>1937</v>
      </c>
      <c r="D4" s="1">
        <v>1</v>
      </c>
      <c r="E4" s="1" t="s">
        <v>245</v>
      </c>
      <c r="F4" s="1">
        <v>0.33110000000000001</v>
      </c>
      <c r="G4" s="1">
        <v>0</v>
      </c>
      <c r="H4" s="2">
        <v>0.23899999999999999</v>
      </c>
    </row>
    <row r="5" spans="1:8" s="1" customFormat="1" x14ac:dyDescent="0.35">
      <c r="A5" s="1" t="s">
        <v>248</v>
      </c>
      <c r="B5" s="1" t="s">
        <v>187</v>
      </c>
      <c r="C5" s="1">
        <v>96</v>
      </c>
      <c r="D5" s="1">
        <v>1</v>
      </c>
      <c r="E5" s="1" t="s">
        <v>245</v>
      </c>
      <c r="F5" s="1">
        <v>0.29360000000000003</v>
      </c>
      <c r="G5" s="1">
        <v>0</v>
      </c>
      <c r="H5" s="2">
        <v>0.21199999999999999</v>
      </c>
    </row>
    <row r="6" spans="1:8" s="1" customFormat="1" x14ac:dyDescent="0.35">
      <c r="A6" s="1" t="s">
        <v>249</v>
      </c>
      <c r="B6" s="1" t="s">
        <v>187</v>
      </c>
      <c r="C6" s="3">
        <v>1189</v>
      </c>
      <c r="D6" s="1">
        <v>2</v>
      </c>
      <c r="E6" s="1" t="s">
        <v>245</v>
      </c>
      <c r="F6" s="1">
        <v>0.37730000000000002</v>
      </c>
      <c r="G6" s="1">
        <v>0</v>
      </c>
      <c r="H6" s="2">
        <v>0.27300000000000002</v>
      </c>
    </row>
    <row r="7" spans="1:8" s="1" customFormat="1" x14ac:dyDescent="0.35">
      <c r="A7" s="1" t="s">
        <v>250</v>
      </c>
      <c r="B7" s="1" t="s">
        <v>187</v>
      </c>
      <c r="C7" s="1">
        <v>214</v>
      </c>
      <c r="D7" s="1">
        <v>1</v>
      </c>
      <c r="E7" s="1" t="s">
        <v>245</v>
      </c>
      <c r="F7" s="1">
        <v>0.36049999999999999</v>
      </c>
      <c r="G7" s="1">
        <v>0</v>
      </c>
      <c r="H7" s="2">
        <v>0.26100000000000001</v>
      </c>
    </row>
    <row r="8" spans="1:8" s="1" customFormat="1" x14ac:dyDescent="0.35">
      <c r="A8" s="1" t="s">
        <v>251</v>
      </c>
      <c r="B8" s="1" t="s">
        <v>187</v>
      </c>
      <c r="C8" s="1">
        <v>580</v>
      </c>
      <c r="D8" s="1">
        <v>2</v>
      </c>
      <c r="E8" s="1" t="s">
        <v>245</v>
      </c>
      <c r="F8" s="1">
        <v>0.34310000000000002</v>
      </c>
      <c r="G8" s="1">
        <v>0</v>
      </c>
      <c r="H8" s="2">
        <v>0.248</v>
      </c>
    </row>
    <row r="9" spans="1:8" s="1" customFormat="1" x14ac:dyDescent="0.35">
      <c r="A9" s="1" t="s">
        <v>252</v>
      </c>
      <c r="B9" s="1" t="s">
        <v>187</v>
      </c>
      <c r="C9" s="1">
        <v>418</v>
      </c>
      <c r="D9" s="1">
        <v>2</v>
      </c>
      <c r="E9" s="1" t="s">
        <v>245</v>
      </c>
      <c r="F9" s="1">
        <v>0.39389999999999997</v>
      </c>
      <c r="G9" s="1">
        <v>0</v>
      </c>
      <c r="H9" s="2">
        <v>0.28499999999999998</v>
      </c>
    </row>
    <row r="10" spans="1:8" s="1" customFormat="1" x14ac:dyDescent="0.35">
      <c r="A10" s="1" t="s">
        <v>253</v>
      </c>
      <c r="B10" s="1" t="s">
        <v>187</v>
      </c>
      <c r="C10" s="1">
        <v>40</v>
      </c>
      <c r="D10" s="1">
        <v>1</v>
      </c>
      <c r="E10" s="1" t="s">
        <v>245</v>
      </c>
      <c r="F10" s="1">
        <v>0.27</v>
      </c>
      <c r="G10" s="1">
        <v>0</v>
      </c>
      <c r="H10" s="2">
        <v>0.19500000000000001</v>
      </c>
    </row>
    <row r="11" spans="1:8" s="1" customFormat="1" x14ac:dyDescent="0.35">
      <c r="A11" s="1" t="s">
        <v>254</v>
      </c>
      <c r="B11" s="1" t="s">
        <v>187</v>
      </c>
      <c r="C11" s="1">
        <v>138</v>
      </c>
      <c r="D11" s="1">
        <v>1</v>
      </c>
      <c r="E11" s="1" t="s">
        <v>245</v>
      </c>
      <c r="F11" s="1">
        <v>0.32969999999999999</v>
      </c>
      <c r="G11" s="1">
        <v>0</v>
      </c>
      <c r="H11" s="2">
        <v>0.23799999999999999</v>
      </c>
    </row>
    <row r="12" spans="1:8" s="1" customFormat="1" x14ac:dyDescent="0.35">
      <c r="A12" s="1" t="s">
        <v>255</v>
      </c>
      <c r="B12" s="1" t="s">
        <v>187</v>
      </c>
      <c r="C12" s="1">
        <v>493</v>
      </c>
      <c r="D12" s="1">
        <v>1</v>
      </c>
      <c r="E12" s="1" t="s">
        <v>245</v>
      </c>
      <c r="F12" s="1">
        <v>0.2954</v>
      </c>
      <c r="G12" s="1">
        <v>0</v>
      </c>
      <c r="H12" s="2">
        <v>0.21299999999999999</v>
      </c>
    </row>
    <row r="13" spans="1:8" s="1" customFormat="1" x14ac:dyDescent="0.35">
      <c r="A13" s="1" t="s">
        <v>256</v>
      </c>
      <c r="B13" s="1" t="s">
        <v>187</v>
      </c>
      <c r="C13" s="1">
        <v>282</v>
      </c>
      <c r="D13" s="1">
        <v>1</v>
      </c>
      <c r="E13" s="1" t="s">
        <v>245</v>
      </c>
      <c r="F13" s="1">
        <v>0.2853</v>
      </c>
      <c r="G13" s="1">
        <v>0</v>
      </c>
      <c r="H13" s="2">
        <v>0.20599999999999999</v>
      </c>
    </row>
    <row r="14" spans="1:8" s="1" customFormat="1" x14ac:dyDescent="0.35">
      <c r="A14" s="1" t="s">
        <v>257</v>
      </c>
      <c r="B14" s="1" t="s">
        <v>187</v>
      </c>
      <c r="C14" s="1">
        <v>134</v>
      </c>
      <c r="D14" s="1">
        <v>1</v>
      </c>
      <c r="E14" s="1" t="s">
        <v>245</v>
      </c>
      <c r="F14" s="1">
        <v>0.37080000000000002</v>
      </c>
      <c r="G14" s="1">
        <v>0</v>
      </c>
      <c r="H14" s="2">
        <v>0.26800000000000002</v>
      </c>
    </row>
    <row r="15" spans="1:8" s="1" customFormat="1" x14ac:dyDescent="0.35">
      <c r="A15" s="1" t="s">
        <v>258</v>
      </c>
      <c r="B15" s="1" t="s">
        <v>187</v>
      </c>
      <c r="C15" s="1">
        <v>309</v>
      </c>
      <c r="D15" s="1">
        <v>1</v>
      </c>
      <c r="E15" s="1" t="s">
        <v>245</v>
      </c>
      <c r="F15" s="1">
        <v>0.35730000000000001</v>
      </c>
      <c r="G15" s="1">
        <v>0</v>
      </c>
      <c r="H15" s="2">
        <v>0.25800000000000001</v>
      </c>
    </row>
    <row r="16" spans="1:8" s="1" customFormat="1" x14ac:dyDescent="0.35">
      <c r="A16" s="1" t="s">
        <v>259</v>
      </c>
      <c r="B16" s="1" t="s">
        <v>187</v>
      </c>
      <c r="C16" s="3">
        <v>1038</v>
      </c>
      <c r="D16" s="1">
        <v>1</v>
      </c>
      <c r="E16" s="1" t="s">
        <v>245</v>
      </c>
      <c r="F16" s="1">
        <v>0.31569999999999998</v>
      </c>
      <c r="G16" s="1">
        <v>0</v>
      </c>
      <c r="H16" s="2">
        <v>0.22800000000000001</v>
      </c>
    </row>
    <row r="17" spans="1:8" s="1" customFormat="1" x14ac:dyDescent="0.35">
      <c r="A17" s="1" t="s">
        <v>260</v>
      </c>
      <c r="B17" s="1" t="s">
        <v>187</v>
      </c>
      <c r="C17" s="1">
        <v>968</v>
      </c>
      <c r="D17" s="1">
        <v>1</v>
      </c>
      <c r="E17" s="1" t="s">
        <v>245</v>
      </c>
      <c r="F17" s="1">
        <v>0.39679999999999999</v>
      </c>
      <c r="G17" s="1">
        <v>0</v>
      </c>
      <c r="H17" s="2">
        <v>0.28699999999999998</v>
      </c>
    </row>
    <row r="18" spans="1:8" s="1" customFormat="1" x14ac:dyDescent="0.35">
      <c r="A18" s="1" t="s">
        <v>261</v>
      </c>
      <c r="B18" s="1" t="s">
        <v>187</v>
      </c>
      <c r="C18" s="1">
        <v>327</v>
      </c>
      <c r="D18" s="1">
        <v>1</v>
      </c>
      <c r="E18" s="1" t="s">
        <v>245</v>
      </c>
      <c r="F18" s="1">
        <v>0.35520000000000002</v>
      </c>
      <c r="G18" s="1">
        <v>0</v>
      </c>
      <c r="H18" s="2">
        <v>0.25700000000000001</v>
      </c>
    </row>
    <row r="19" spans="1:8" s="1" customFormat="1" x14ac:dyDescent="0.35">
      <c r="A19" s="1" t="s">
        <v>262</v>
      </c>
      <c r="B19" s="1" t="s">
        <v>187</v>
      </c>
      <c r="C19" s="1">
        <v>296</v>
      </c>
      <c r="D19" s="1">
        <v>4</v>
      </c>
      <c r="E19" s="1" t="s">
        <v>245</v>
      </c>
      <c r="F19" s="1">
        <v>0.36780000000000002</v>
      </c>
      <c r="G19" s="1">
        <v>0</v>
      </c>
      <c r="H19" s="2">
        <v>0.26600000000000001</v>
      </c>
    </row>
    <row r="20" spans="1:8" s="1" customFormat="1" x14ac:dyDescent="0.35">
      <c r="A20" s="1" t="s">
        <v>263</v>
      </c>
      <c r="B20" s="1" t="s">
        <v>187</v>
      </c>
      <c r="C20" s="1">
        <v>353</v>
      </c>
      <c r="D20" s="1">
        <v>1</v>
      </c>
      <c r="E20" s="1" t="s">
        <v>245</v>
      </c>
      <c r="F20" s="1">
        <v>0.3236</v>
      </c>
      <c r="G20" s="1">
        <v>0</v>
      </c>
      <c r="H20" s="2">
        <v>0.23400000000000001</v>
      </c>
    </row>
    <row r="21" spans="1:8" s="1" customFormat="1" x14ac:dyDescent="0.35">
      <c r="A21" s="1" t="s">
        <v>264</v>
      </c>
      <c r="B21" s="1" t="s">
        <v>187</v>
      </c>
      <c r="C21" s="1">
        <v>140</v>
      </c>
      <c r="D21" s="1">
        <v>1</v>
      </c>
      <c r="E21" s="1" t="s">
        <v>245</v>
      </c>
      <c r="F21" s="1">
        <v>0.29210000000000003</v>
      </c>
      <c r="G21" s="1">
        <v>0</v>
      </c>
      <c r="H21" s="2">
        <v>0.21099999999999999</v>
      </c>
    </row>
    <row r="22" spans="1:8" s="1" customFormat="1" x14ac:dyDescent="0.35">
      <c r="A22" s="1" t="s">
        <v>265</v>
      </c>
      <c r="B22" s="1" t="s">
        <v>187</v>
      </c>
      <c r="C22" s="1">
        <v>154</v>
      </c>
      <c r="D22" s="1">
        <v>3</v>
      </c>
      <c r="E22" s="1" t="s">
        <v>245</v>
      </c>
      <c r="F22" s="1">
        <v>0.34289999999999998</v>
      </c>
      <c r="G22" s="1">
        <v>0</v>
      </c>
      <c r="H22" s="2">
        <v>0.248</v>
      </c>
    </row>
    <row r="23" spans="1:8" s="1" customFormat="1" x14ac:dyDescent="0.35">
      <c r="A23" s="1" t="s">
        <v>266</v>
      </c>
      <c r="B23" s="1" t="s">
        <v>187</v>
      </c>
      <c r="C23" s="1">
        <v>506</v>
      </c>
      <c r="D23" s="1">
        <v>1</v>
      </c>
      <c r="E23" s="1" t="s">
        <v>245</v>
      </c>
      <c r="F23" s="1">
        <v>0.3891</v>
      </c>
      <c r="G23" s="1">
        <v>0</v>
      </c>
      <c r="H23" s="2">
        <v>0.28100000000000003</v>
      </c>
    </row>
    <row r="24" spans="1:8" s="1" customFormat="1" x14ac:dyDescent="0.35">
      <c r="A24" s="1" t="s">
        <v>267</v>
      </c>
      <c r="B24" s="1" t="s">
        <v>187</v>
      </c>
      <c r="C24" s="3">
        <v>3422</v>
      </c>
      <c r="D24" s="1">
        <v>1</v>
      </c>
      <c r="E24" s="1" t="s">
        <v>245</v>
      </c>
      <c r="F24" s="1">
        <v>0.39169999999999999</v>
      </c>
      <c r="G24" s="1">
        <v>0</v>
      </c>
      <c r="H24" s="2">
        <v>0.28299999999999997</v>
      </c>
    </row>
    <row r="25" spans="1:8" s="1" customFormat="1" x14ac:dyDescent="0.35">
      <c r="A25" s="1" t="s">
        <v>268</v>
      </c>
      <c r="B25" s="1" t="s">
        <v>187</v>
      </c>
      <c r="C25" s="1">
        <v>485</v>
      </c>
      <c r="D25" s="1">
        <v>2</v>
      </c>
      <c r="E25" s="1" t="s">
        <v>245</v>
      </c>
      <c r="F25" s="1">
        <v>0.30099999999999999</v>
      </c>
      <c r="G25" s="1">
        <v>0</v>
      </c>
      <c r="H25" s="2">
        <v>0.218</v>
      </c>
    </row>
    <row r="26" spans="1:8" s="1" customFormat="1" x14ac:dyDescent="0.35">
      <c r="A26" s="1" t="s">
        <v>269</v>
      </c>
      <c r="B26" s="1" t="s">
        <v>187</v>
      </c>
      <c r="C26" s="3">
        <v>1126</v>
      </c>
      <c r="D26" s="1">
        <v>5</v>
      </c>
      <c r="E26" s="1" t="s">
        <v>245</v>
      </c>
      <c r="F26" s="1">
        <v>0.26390000000000002</v>
      </c>
      <c r="G26" s="1">
        <v>0</v>
      </c>
      <c r="H26" s="2">
        <v>0.191</v>
      </c>
    </row>
    <row r="27" spans="1:8" s="1" customFormat="1" x14ac:dyDescent="0.35">
      <c r="A27" s="1" t="s">
        <v>270</v>
      </c>
      <c r="B27" s="1" t="s">
        <v>187</v>
      </c>
      <c r="C27" s="3">
        <v>1015</v>
      </c>
      <c r="D27" s="1">
        <v>1</v>
      </c>
      <c r="E27" s="1" t="s">
        <v>245</v>
      </c>
      <c r="F27" s="1">
        <v>0.31890000000000002</v>
      </c>
      <c r="G27" s="1">
        <v>0</v>
      </c>
      <c r="H27" s="2">
        <v>0.23</v>
      </c>
    </row>
    <row r="28" spans="1:8" s="1" customFormat="1" x14ac:dyDescent="0.35">
      <c r="A28" s="1" t="s">
        <v>271</v>
      </c>
      <c r="B28" s="1" t="s">
        <v>187</v>
      </c>
      <c r="C28" s="3">
        <v>1109</v>
      </c>
      <c r="D28" s="1">
        <v>4</v>
      </c>
      <c r="E28" s="1" t="s">
        <v>245</v>
      </c>
      <c r="F28" s="1">
        <v>0.25059999999999999</v>
      </c>
      <c r="G28" s="1">
        <v>0</v>
      </c>
      <c r="H28" s="2">
        <v>0.18099999999999999</v>
      </c>
    </row>
    <row r="29" spans="1:8" s="1" customFormat="1" x14ac:dyDescent="0.35">
      <c r="A29" s="1" t="s">
        <v>272</v>
      </c>
      <c r="B29" s="1" t="s">
        <v>187</v>
      </c>
      <c r="C29" s="1">
        <v>537</v>
      </c>
      <c r="D29" s="1">
        <v>1</v>
      </c>
      <c r="E29" s="1" t="s">
        <v>245</v>
      </c>
      <c r="F29" s="1">
        <v>0.38669999999999999</v>
      </c>
      <c r="G29" s="1">
        <v>0</v>
      </c>
      <c r="H29" s="2">
        <v>0.27900000000000003</v>
      </c>
    </row>
    <row r="30" spans="1:8" s="1" customFormat="1" x14ac:dyDescent="0.35">
      <c r="A30" s="1" t="s">
        <v>273</v>
      </c>
      <c r="B30" s="1" t="s">
        <v>187</v>
      </c>
      <c r="C30" s="1">
        <v>831</v>
      </c>
      <c r="D30" s="1">
        <v>1</v>
      </c>
      <c r="E30" s="1" t="s">
        <v>245</v>
      </c>
      <c r="F30" s="1">
        <v>0.3926</v>
      </c>
      <c r="G30" s="1">
        <v>0</v>
      </c>
      <c r="H30" s="2">
        <v>0.28399999999999997</v>
      </c>
    </row>
    <row r="31" spans="1:8" s="1" customFormat="1" x14ac:dyDescent="0.35">
      <c r="A31" s="1" t="s">
        <v>274</v>
      </c>
      <c r="B31" s="1" t="s">
        <v>187</v>
      </c>
      <c r="C31" s="1">
        <v>81</v>
      </c>
      <c r="D31" s="1">
        <v>1</v>
      </c>
      <c r="E31" s="1" t="s">
        <v>245</v>
      </c>
      <c r="F31" s="1">
        <v>0.28199999999999997</v>
      </c>
      <c r="G31" s="1">
        <v>0</v>
      </c>
      <c r="H31" s="2">
        <v>0.20399999999999999</v>
      </c>
    </row>
    <row r="32" spans="1:8" s="1" customFormat="1" x14ac:dyDescent="0.35">
      <c r="A32" s="1" t="s">
        <v>275</v>
      </c>
      <c r="B32" s="1" t="s">
        <v>187</v>
      </c>
      <c r="C32" s="1">
        <v>936</v>
      </c>
      <c r="D32" s="1">
        <v>1</v>
      </c>
      <c r="E32" s="1" t="s">
        <v>276</v>
      </c>
      <c r="F32" s="1">
        <v>0.8175</v>
      </c>
      <c r="G32" s="1">
        <v>1</v>
      </c>
      <c r="H32" s="2">
        <v>1.264</v>
      </c>
    </row>
    <row r="33" spans="1:8" s="1" customFormat="1" x14ac:dyDescent="0.35">
      <c r="A33" s="1" t="s">
        <v>277</v>
      </c>
      <c r="B33" s="1" t="s">
        <v>187</v>
      </c>
      <c r="C33" s="3">
        <v>1023</v>
      </c>
      <c r="D33" s="1">
        <v>1</v>
      </c>
      <c r="E33" s="1" t="s">
        <v>245</v>
      </c>
      <c r="F33" s="1">
        <v>0.56950000000000001</v>
      </c>
      <c r="G33" s="1">
        <v>0</v>
      </c>
      <c r="H33" s="2">
        <v>0.41199999999999998</v>
      </c>
    </row>
    <row r="34" spans="1:8" s="1" customFormat="1" x14ac:dyDescent="0.35">
      <c r="A34" s="1" t="s">
        <v>278</v>
      </c>
      <c r="B34" s="1" t="s">
        <v>187</v>
      </c>
      <c r="C34" s="3">
        <v>19806</v>
      </c>
      <c r="D34" s="1">
        <v>1</v>
      </c>
      <c r="E34" s="1" t="s">
        <v>245</v>
      </c>
      <c r="F34" s="1">
        <v>0.3745</v>
      </c>
      <c r="G34" s="1">
        <v>0</v>
      </c>
      <c r="H34" s="2">
        <v>0.27100000000000002</v>
      </c>
    </row>
    <row r="35" spans="1:8" s="1" customFormat="1" x14ac:dyDescent="0.35">
      <c r="A35" s="1" t="s">
        <v>279</v>
      </c>
      <c r="B35" s="1" t="s">
        <v>187</v>
      </c>
      <c r="C35" s="1">
        <v>956</v>
      </c>
      <c r="D35" s="1">
        <v>1</v>
      </c>
      <c r="E35" s="1" t="s">
        <v>245</v>
      </c>
      <c r="F35" s="1">
        <v>0.6976</v>
      </c>
      <c r="G35" s="1">
        <v>0</v>
      </c>
      <c r="H35" s="2">
        <v>0.504</v>
      </c>
    </row>
    <row r="36" spans="1:8" s="1" customFormat="1" x14ac:dyDescent="0.35">
      <c r="A36" s="1" t="s">
        <v>280</v>
      </c>
      <c r="B36" s="1" t="s">
        <v>177</v>
      </c>
      <c r="C36" s="3">
        <v>2134</v>
      </c>
      <c r="D36" s="1">
        <v>1</v>
      </c>
      <c r="E36" s="1" t="s">
        <v>245</v>
      </c>
      <c r="F36" s="1">
        <v>0.1361</v>
      </c>
      <c r="G36" s="1">
        <v>0</v>
      </c>
      <c r="H36" s="2">
        <v>9.8000000000000004E-2</v>
      </c>
    </row>
    <row r="37" spans="1:8" s="1" customFormat="1" x14ac:dyDescent="0.35">
      <c r="A37" s="1" t="s">
        <v>281</v>
      </c>
      <c r="B37" s="1" t="s">
        <v>177</v>
      </c>
      <c r="C37" s="3">
        <v>1241</v>
      </c>
      <c r="D37" s="1">
        <v>1</v>
      </c>
      <c r="E37" s="1" t="s">
        <v>245</v>
      </c>
      <c r="F37" s="1">
        <v>0.3871</v>
      </c>
      <c r="G37" s="1">
        <v>0</v>
      </c>
      <c r="H37" s="2">
        <v>0.28000000000000003</v>
      </c>
    </row>
    <row r="38" spans="1:8" s="1" customFormat="1" x14ac:dyDescent="0.35">
      <c r="A38" s="1" t="s">
        <v>282</v>
      </c>
      <c r="B38" s="1" t="s">
        <v>177</v>
      </c>
      <c r="C38" s="1">
        <v>653</v>
      </c>
      <c r="D38" s="1">
        <v>1</v>
      </c>
      <c r="E38" s="1" t="s">
        <v>245</v>
      </c>
      <c r="F38" s="1">
        <v>0.44319999999999998</v>
      </c>
      <c r="G38" s="1">
        <v>0</v>
      </c>
      <c r="H38" s="2">
        <v>0.32</v>
      </c>
    </row>
    <row r="39" spans="1:8" s="1" customFormat="1" x14ac:dyDescent="0.35">
      <c r="A39" s="1" t="s">
        <v>283</v>
      </c>
      <c r="B39" s="1" t="s">
        <v>177</v>
      </c>
      <c r="C39" s="3">
        <v>14568</v>
      </c>
      <c r="D39" s="1">
        <v>1</v>
      </c>
      <c r="E39" s="1" t="s">
        <v>245</v>
      </c>
      <c r="F39" s="1">
        <v>0.51359999999999995</v>
      </c>
      <c r="G39" s="1">
        <v>0</v>
      </c>
      <c r="H39" s="2">
        <v>0.371</v>
      </c>
    </row>
    <row r="40" spans="1:8" s="1" customFormat="1" x14ac:dyDescent="0.35">
      <c r="A40" s="1" t="s">
        <v>284</v>
      </c>
      <c r="B40" s="1" t="s">
        <v>177</v>
      </c>
      <c r="C40" s="3">
        <v>1803</v>
      </c>
      <c r="D40" s="1">
        <v>1</v>
      </c>
      <c r="E40" s="1" t="s">
        <v>245</v>
      </c>
      <c r="F40" s="1">
        <v>0.27060000000000001</v>
      </c>
      <c r="G40" s="1">
        <v>0</v>
      </c>
      <c r="H40" s="2">
        <v>0.19600000000000001</v>
      </c>
    </row>
    <row r="41" spans="1:8" s="1" customFormat="1" x14ac:dyDescent="0.35">
      <c r="A41" s="1" t="s">
        <v>285</v>
      </c>
      <c r="B41" s="1" t="s">
        <v>177</v>
      </c>
      <c r="C41" s="1">
        <v>538</v>
      </c>
      <c r="D41" s="1">
        <v>1</v>
      </c>
      <c r="E41" s="1" t="s">
        <v>245</v>
      </c>
      <c r="F41" s="1">
        <v>0.3836</v>
      </c>
      <c r="G41" s="1">
        <v>0</v>
      </c>
      <c r="H41" s="2">
        <v>0.27700000000000002</v>
      </c>
    </row>
    <row r="42" spans="1:8" s="1" customFormat="1" x14ac:dyDescent="0.35">
      <c r="A42" s="1" t="s">
        <v>286</v>
      </c>
      <c r="B42" s="1" t="s">
        <v>177</v>
      </c>
      <c r="C42" s="3">
        <v>1759</v>
      </c>
      <c r="D42" s="1">
        <v>1</v>
      </c>
      <c r="E42" s="1" t="s">
        <v>245</v>
      </c>
      <c r="F42" s="1">
        <v>0.5796</v>
      </c>
      <c r="G42" s="1">
        <v>0</v>
      </c>
      <c r="H42" s="2">
        <v>0.41899999999999998</v>
      </c>
    </row>
    <row r="43" spans="1:8" s="1" customFormat="1" x14ac:dyDescent="0.35">
      <c r="A43" s="1" t="s">
        <v>287</v>
      </c>
      <c r="B43" s="1" t="s">
        <v>177</v>
      </c>
      <c r="C43" s="1">
        <v>866</v>
      </c>
      <c r="D43" s="1">
        <v>1</v>
      </c>
      <c r="E43" s="1" t="s">
        <v>245</v>
      </c>
      <c r="F43" s="1">
        <v>0.80940000000000001</v>
      </c>
      <c r="G43" s="1">
        <v>0</v>
      </c>
      <c r="H43" s="2">
        <v>0.58499999999999996</v>
      </c>
    </row>
    <row r="44" spans="1:8" s="1" customFormat="1" x14ac:dyDescent="0.35">
      <c r="A44" s="1" t="s">
        <v>288</v>
      </c>
      <c r="B44" s="1" t="s">
        <v>177</v>
      </c>
      <c r="C44" s="3">
        <v>4872</v>
      </c>
      <c r="D44" s="1">
        <v>1</v>
      </c>
      <c r="E44" s="1" t="s">
        <v>245</v>
      </c>
      <c r="F44" s="1">
        <v>0.52700000000000002</v>
      </c>
      <c r="G44" s="1">
        <v>0</v>
      </c>
      <c r="H44" s="2">
        <v>0.38100000000000001</v>
      </c>
    </row>
    <row r="45" spans="1:8" s="1" customFormat="1" x14ac:dyDescent="0.35">
      <c r="A45" s="1" t="s">
        <v>289</v>
      </c>
      <c r="B45" s="1" t="s">
        <v>177</v>
      </c>
      <c r="C45" s="1">
        <v>760</v>
      </c>
      <c r="D45" s="1">
        <v>1</v>
      </c>
      <c r="E45" s="1" t="s">
        <v>245</v>
      </c>
      <c r="F45" s="1">
        <v>0.81710000000000005</v>
      </c>
      <c r="G45" s="1">
        <v>0</v>
      </c>
      <c r="H45" s="2">
        <v>0.59</v>
      </c>
    </row>
    <row r="46" spans="1:8" s="1" customFormat="1" x14ac:dyDescent="0.35">
      <c r="A46" s="1" t="s">
        <v>290</v>
      </c>
      <c r="B46" s="1" t="s">
        <v>177</v>
      </c>
      <c r="C46" s="3">
        <v>1444</v>
      </c>
      <c r="D46" s="1">
        <v>1</v>
      </c>
      <c r="E46" s="1" t="s">
        <v>245</v>
      </c>
      <c r="F46" s="1">
        <v>0.755</v>
      </c>
      <c r="G46" s="1">
        <v>0</v>
      </c>
      <c r="H46" s="2">
        <v>0.54600000000000004</v>
      </c>
    </row>
    <row r="47" spans="1:8" s="1" customFormat="1" x14ac:dyDescent="0.35">
      <c r="A47" s="1" t="s">
        <v>291</v>
      </c>
      <c r="B47" s="1" t="s">
        <v>177</v>
      </c>
      <c r="C47" s="3">
        <v>2196</v>
      </c>
      <c r="D47" s="1">
        <v>1</v>
      </c>
      <c r="E47" s="1" t="s">
        <v>245</v>
      </c>
      <c r="F47" s="1">
        <v>0.56000000000000005</v>
      </c>
      <c r="G47" s="1">
        <v>0</v>
      </c>
      <c r="H47" s="2">
        <v>0.40500000000000003</v>
      </c>
    </row>
    <row r="48" spans="1:8" s="1" customFormat="1" x14ac:dyDescent="0.35">
      <c r="A48" s="1" t="s">
        <v>292</v>
      </c>
      <c r="B48" s="1" t="s">
        <v>177</v>
      </c>
      <c r="C48" s="1">
        <v>274</v>
      </c>
      <c r="D48" s="1">
        <v>1</v>
      </c>
      <c r="E48" s="1" t="s">
        <v>245</v>
      </c>
      <c r="F48" s="1">
        <v>0.4955</v>
      </c>
      <c r="G48" s="1">
        <v>0</v>
      </c>
      <c r="H48" s="2">
        <v>0.35799999999999998</v>
      </c>
    </row>
    <row r="49" spans="1:8" s="1" customFormat="1" x14ac:dyDescent="0.35">
      <c r="A49" s="1" t="s">
        <v>293</v>
      </c>
      <c r="B49" s="1" t="s">
        <v>177</v>
      </c>
      <c r="C49" s="3">
        <v>1380</v>
      </c>
      <c r="D49" s="1">
        <v>1</v>
      </c>
      <c r="E49" s="1" t="s">
        <v>245</v>
      </c>
      <c r="F49" s="1">
        <v>0.39810000000000001</v>
      </c>
      <c r="G49" s="1">
        <v>0</v>
      </c>
      <c r="H49" s="2">
        <v>0.28799999999999998</v>
      </c>
    </row>
    <row r="50" spans="1:8" s="1" customFormat="1" x14ac:dyDescent="0.35">
      <c r="A50" s="1" t="s">
        <v>294</v>
      </c>
      <c r="B50" s="1" t="s">
        <v>177</v>
      </c>
      <c r="C50" s="1">
        <v>539</v>
      </c>
      <c r="D50" s="1">
        <v>1</v>
      </c>
      <c r="E50" s="1" t="s">
        <v>245</v>
      </c>
      <c r="F50" s="1">
        <v>0.39650000000000002</v>
      </c>
      <c r="G50" s="1">
        <v>0</v>
      </c>
      <c r="H50" s="2">
        <v>0.28699999999999998</v>
      </c>
    </row>
    <row r="51" spans="1:8" s="1" customFormat="1" x14ac:dyDescent="0.35">
      <c r="A51" s="1" t="s">
        <v>295</v>
      </c>
      <c r="B51" s="1" t="s">
        <v>177</v>
      </c>
      <c r="C51" s="1">
        <v>274</v>
      </c>
      <c r="D51" s="1">
        <v>1</v>
      </c>
      <c r="E51" s="1" t="s">
        <v>245</v>
      </c>
      <c r="F51" s="1">
        <v>0.41959999999999997</v>
      </c>
      <c r="G51" s="1">
        <v>0</v>
      </c>
      <c r="H51" s="2">
        <v>0.30299999999999999</v>
      </c>
    </row>
    <row r="52" spans="1:8" s="1" customFormat="1" x14ac:dyDescent="0.35">
      <c r="A52" s="1" t="s">
        <v>296</v>
      </c>
      <c r="B52" s="1" t="s">
        <v>177</v>
      </c>
      <c r="C52" s="1">
        <v>104</v>
      </c>
      <c r="D52" s="1">
        <v>1</v>
      </c>
      <c r="E52" s="1" t="s">
        <v>245</v>
      </c>
      <c r="F52" s="1">
        <v>0.5736</v>
      </c>
      <c r="G52" s="1">
        <v>0</v>
      </c>
      <c r="H52" s="2">
        <v>0.41399999999999998</v>
      </c>
    </row>
    <row r="53" spans="1:8" s="1" customFormat="1" x14ac:dyDescent="0.35">
      <c r="A53" s="1" t="s">
        <v>297</v>
      </c>
      <c r="B53" s="1" t="s">
        <v>177</v>
      </c>
      <c r="C53" s="1">
        <v>10</v>
      </c>
      <c r="D53" s="1">
        <v>1</v>
      </c>
      <c r="E53" s="1" t="s">
        <v>245</v>
      </c>
      <c r="F53" s="1">
        <v>0.58789999999999998</v>
      </c>
      <c r="G53" s="1">
        <v>0</v>
      </c>
      <c r="H53" s="2">
        <v>0.42499999999999999</v>
      </c>
    </row>
    <row r="54" spans="1:8" s="1" customFormat="1" x14ac:dyDescent="0.35">
      <c r="A54" s="1" t="s">
        <v>298</v>
      </c>
      <c r="B54" s="1" t="s">
        <v>177</v>
      </c>
      <c r="C54" s="3">
        <v>1587</v>
      </c>
      <c r="D54" s="1">
        <v>2</v>
      </c>
      <c r="E54" s="1" t="s">
        <v>245</v>
      </c>
      <c r="F54" s="1">
        <v>9.4399999999999998E-2</v>
      </c>
      <c r="G54" s="1">
        <v>0</v>
      </c>
      <c r="H54" s="2">
        <v>6.8000000000000005E-2</v>
      </c>
    </row>
    <row r="55" spans="1:8" s="1" customFormat="1" x14ac:dyDescent="0.35">
      <c r="A55" s="1" t="s">
        <v>299</v>
      </c>
      <c r="B55" s="1" t="s">
        <v>177</v>
      </c>
      <c r="C55" s="3">
        <v>10360</v>
      </c>
      <c r="D55" s="1">
        <v>2</v>
      </c>
      <c r="E55" s="1" t="s">
        <v>245</v>
      </c>
      <c r="F55" s="1">
        <v>6.9599999999999995E-2</v>
      </c>
      <c r="G55" s="1">
        <v>0</v>
      </c>
      <c r="H55" s="2">
        <v>0.05</v>
      </c>
    </row>
    <row r="56" spans="1:8" s="1" customFormat="1" x14ac:dyDescent="0.35">
      <c r="A56" s="1" t="s">
        <v>300</v>
      </c>
      <c r="B56" s="1" t="s">
        <v>177</v>
      </c>
      <c r="C56" s="1">
        <v>202</v>
      </c>
      <c r="D56" s="1">
        <v>1</v>
      </c>
      <c r="E56" s="1" t="s">
        <v>245</v>
      </c>
      <c r="F56" s="1">
        <v>0.1285</v>
      </c>
      <c r="G56" s="1">
        <v>0</v>
      </c>
      <c r="H56" s="2">
        <v>9.2999999999999999E-2</v>
      </c>
    </row>
    <row r="57" spans="1:8" s="1" customFormat="1" x14ac:dyDescent="0.35">
      <c r="A57" s="1" t="s">
        <v>301</v>
      </c>
      <c r="B57" s="1" t="s">
        <v>177</v>
      </c>
      <c r="C57" s="1">
        <v>449</v>
      </c>
      <c r="D57" s="1">
        <v>1</v>
      </c>
      <c r="E57" s="1" t="s">
        <v>245</v>
      </c>
      <c r="F57" s="1">
        <v>0.12790000000000001</v>
      </c>
      <c r="G57" s="1">
        <v>0</v>
      </c>
      <c r="H57" s="2">
        <v>9.1999999999999998E-2</v>
      </c>
    </row>
    <row r="58" spans="1:8" s="1" customFormat="1" x14ac:dyDescent="0.35">
      <c r="A58" s="1" t="s">
        <v>302</v>
      </c>
      <c r="B58" s="1" t="s">
        <v>177</v>
      </c>
      <c r="C58" s="3">
        <v>1221</v>
      </c>
      <c r="D58" s="1">
        <v>1</v>
      </c>
      <c r="E58" s="1" t="s">
        <v>245</v>
      </c>
      <c r="F58" s="1">
        <v>0.25269999999999998</v>
      </c>
      <c r="G58" s="1">
        <v>0</v>
      </c>
      <c r="H58" s="2">
        <v>0.183</v>
      </c>
    </row>
    <row r="59" spans="1:8" s="1" customFormat="1" x14ac:dyDescent="0.35">
      <c r="A59" s="1" t="s">
        <v>303</v>
      </c>
      <c r="B59" s="1" t="s">
        <v>177</v>
      </c>
      <c r="C59" s="1">
        <v>301</v>
      </c>
      <c r="D59" s="1">
        <v>1</v>
      </c>
      <c r="E59" s="1" t="s">
        <v>245</v>
      </c>
      <c r="F59" s="1">
        <v>0.48480000000000001</v>
      </c>
      <c r="G59" s="1">
        <v>0</v>
      </c>
      <c r="H59" s="2">
        <v>0.35</v>
      </c>
    </row>
    <row r="60" spans="1:8" s="1" customFormat="1" x14ac:dyDescent="0.35">
      <c r="A60" s="1" t="s">
        <v>304</v>
      </c>
      <c r="B60" s="1" t="s">
        <v>177</v>
      </c>
      <c r="C60" s="3">
        <v>3523</v>
      </c>
      <c r="D60" s="1">
        <v>1</v>
      </c>
      <c r="E60" s="1" t="s">
        <v>245</v>
      </c>
      <c r="F60" s="1">
        <v>0.51200000000000001</v>
      </c>
      <c r="G60" s="1">
        <v>0</v>
      </c>
      <c r="H60" s="2">
        <v>0.37</v>
      </c>
    </row>
    <row r="61" spans="1:8" s="1" customFormat="1" x14ac:dyDescent="0.35">
      <c r="A61" s="1" t="s">
        <v>305</v>
      </c>
      <c r="B61" s="1" t="s">
        <v>177</v>
      </c>
      <c r="C61" s="3">
        <v>1957</v>
      </c>
      <c r="D61" s="1">
        <v>1</v>
      </c>
      <c r="E61" s="1" t="s">
        <v>245</v>
      </c>
      <c r="F61" s="1">
        <v>0.33829999999999999</v>
      </c>
      <c r="G61" s="1">
        <v>0</v>
      </c>
      <c r="H61" s="2">
        <v>0.24399999999999999</v>
      </c>
    </row>
    <row r="62" spans="1:8" s="1" customFormat="1" x14ac:dyDescent="0.35">
      <c r="A62" s="1" t="s">
        <v>306</v>
      </c>
      <c r="B62" s="1" t="s">
        <v>177</v>
      </c>
      <c r="C62" s="3">
        <v>1213</v>
      </c>
      <c r="D62" s="1">
        <v>1</v>
      </c>
      <c r="E62" s="1" t="s">
        <v>245</v>
      </c>
      <c r="F62" s="1">
        <v>0.59940000000000004</v>
      </c>
      <c r="G62" s="1">
        <v>0</v>
      </c>
      <c r="H62" s="2">
        <v>0.433</v>
      </c>
    </row>
    <row r="63" spans="1:8" s="1" customFormat="1" x14ac:dyDescent="0.35">
      <c r="A63" s="1" t="s">
        <v>307</v>
      </c>
      <c r="B63" s="1" t="s">
        <v>177</v>
      </c>
      <c r="C63" s="3">
        <v>2060</v>
      </c>
      <c r="D63" s="1">
        <v>1</v>
      </c>
      <c r="E63" s="1" t="s">
        <v>245</v>
      </c>
      <c r="F63" s="1">
        <v>0.56210000000000004</v>
      </c>
      <c r="G63" s="1">
        <v>0</v>
      </c>
      <c r="H63" s="2">
        <v>0.40600000000000003</v>
      </c>
    </row>
    <row r="64" spans="1:8" s="1" customFormat="1" x14ac:dyDescent="0.35">
      <c r="A64" s="1" t="s">
        <v>308</v>
      </c>
      <c r="B64" s="1" t="s">
        <v>177</v>
      </c>
      <c r="C64" s="3">
        <v>2019</v>
      </c>
      <c r="D64" s="1">
        <v>1</v>
      </c>
      <c r="E64" s="1" t="s">
        <v>245</v>
      </c>
      <c r="F64" s="1">
        <v>0.5786</v>
      </c>
      <c r="G64" s="1">
        <v>0</v>
      </c>
      <c r="H64" s="2">
        <v>0.41799999999999998</v>
      </c>
    </row>
    <row r="65" spans="1:8" s="1" customFormat="1" x14ac:dyDescent="0.35">
      <c r="A65" s="1" t="s">
        <v>309</v>
      </c>
      <c r="B65" s="1" t="s">
        <v>177</v>
      </c>
      <c r="C65" s="3">
        <v>3134</v>
      </c>
      <c r="D65" s="1">
        <v>2</v>
      </c>
      <c r="E65" s="1" t="s">
        <v>245</v>
      </c>
      <c r="F65" s="1">
        <v>0.38900000000000001</v>
      </c>
      <c r="G65" s="1">
        <v>0</v>
      </c>
      <c r="H65" s="2">
        <v>0.28100000000000003</v>
      </c>
    </row>
    <row r="66" spans="1:8" s="1" customFormat="1" x14ac:dyDescent="0.35">
      <c r="A66" s="1" t="s">
        <v>310</v>
      </c>
      <c r="B66" s="1" t="s">
        <v>177</v>
      </c>
      <c r="C66" s="1">
        <v>601</v>
      </c>
      <c r="D66" s="1">
        <v>1</v>
      </c>
      <c r="E66" s="1" t="s">
        <v>276</v>
      </c>
      <c r="F66" s="1">
        <v>0.69979999999999998</v>
      </c>
      <c r="G66" s="1">
        <v>1</v>
      </c>
      <c r="H66" s="2">
        <v>1.179</v>
      </c>
    </row>
    <row r="67" spans="1:8" s="1" customFormat="1" x14ac:dyDescent="0.35">
      <c r="A67" s="1" t="s">
        <v>311</v>
      </c>
      <c r="B67" s="1" t="s">
        <v>177</v>
      </c>
      <c r="C67" s="1">
        <v>552</v>
      </c>
      <c r="D67" s="1">
        <v>1</v>
      </c>
      <c r="E67" s="1" t="s">
        <v>245</v>
      </c>
      <c r="F67" s="1">
        <v>0.5121</v>
      </c>
      <c r="G67" s="1">
        <v>0</v>
      </c>
      <c r="H67" s="2">
        <v>0.37</v>
      </c>
    </row>
    <row r="68" spans="1:8" s="1" customFormat="1" x14ac:dyDescent="0.35">
      <c r="A68" s="1" t="s">
        <v>312</v>
      </c>
      <c r="B68" s="1" t="s">
        <v>177</v>
      </c>
      <c r="C68" s="1">
        <v>835</v>
      </c>
      <c r="D68" s="1">
        <v>1</v>
      </c>
      <c r="E68" s="1" t="s">
        <v>245</v>
      </c>
      <c r="F68" s="1">
        <v>0.68189999999999995</v>
      </c>
      <c r="G68" s="1">
        <v>0</v>
      </c>
      <c r="H68" s="2">
        <v>0.49299999999999999</v>
      </c>
    </row>
    <row r="69" spans="1:8" s="1" customFormat="1" x14ac:dyDescent="0.35">
      <c r="A69" s="1" t="s">
        <v>313</v>
      </c>
      <c r="B69" s="1" t="s">
        <v>177</v>
      </c>
      <c r="C69" s="1">
        <v>977</v>
      </c>
      <c r="D69" s="1">
        <v>1</v>
      </c>
      <c r="E69" s="1" t="s">
        <v>276</v>
      </c>
      <c r="F69" s="1">
        <v>0.747</v>
      </c>
      <c r="G69" s="1">
        <v>1</v>
      </c>
      <c r="H69" s="2">
        <v>1.2130000000000001</v>
      </c>
    </row>
    <row r="70" spans="1:8" s="1" customFormat="1" x14ac:dyDescent="0.35">
      <c r="A70" s="1" t="s">
        <v>314</v>
      </c>
      <c r="B70" s="1" t="s">
        <v>177</v>
      </c>
      <c r="C70" s="3">
        <v>2256</v>
      </c>
      <c r="D70" s="1">
        <v>1</v>
      </c>
      <c r="E70" s="1" t="s">
        <v>245</v>
      </c>
      <c r="F70" s="1">
        <v>0.43659999999999999</v>
      </c>
      <c r="G70" s="1">
        <v>0</v>
      </c>
      <c r="H70" s="2">
        <v>0.315</v>
      </c>
    </row>
    <row r="71" spans="1:8" s="1" customFormat="1" x14ac:dyDescent="0.35">
      <c r="A71" s="1" t="s">
        <v>315</v>
      </c>
      <c r="B71" s="1" t="s">
        <v>177</v>
      </c>
      <c r="C71" s="1">
        <v>297</v>
      </c>
      <c r="D71" s="1">
        <v>1</v>
      </c>
      <c r="E71" s="1" t="s">
        <v>245</v>
      </c>
      <c r="F71" s="1">
        <v>0.3695</v>
      </c>
      <c r="G71" s="1">
        <v>0</v>
      </c>
      <c r="H71" s="2">
        <v>0.26700000000000002</v>
      </c>
    </row>
    <row r="72" spans="1:8" s="1" customFormat="1" x14ac:dyDescent="0.35">
      <c r="A72" s="1" t="s">
        <v>316</v>
      </c>
      <c r="B72" s="1" t="s">
        <v>177</v>
      </c>
      <c r="C72" s="1">
        <v>646</v>
      </c>
      <c r="D72" s="1">
        <v>2</v>
      </c>
      <c r="E72" s="1" t="s">
        <v>276</v>
      </c>
      <c r="F72" s="1">
        <v>0.6996</v>
      </c>
      <c r="G72" s="1">
        <v>1</v>
      </c>
      <c r="H72" s="2">
        <v>1.179</v>
      </c>
    </row>
    <row r="73" spans="1:8" s="1" customFormat="1" x14ac:dyDescent="0.35">
      <c r="A73" s="1" t="s">
        <v>317</v>
      </c>
      <c r="B73" s="1" t="s">
        <v>177</v>
      </c>
      <c r="C73" s="1">
        <v>237</v>
      </c>
      <c r="D73" s="1">
        <v>1</v>
      </c>
      <c r="E73" s="1" t="s">
        <v>276</v>
      </c>
      <c r="F73" s="1">
        <v>0.78500000000000003</v>
      </c>
      <c r="G73" s="1">
        <v>1</v>
      </c>
      <c r="H73" s="2">
        <v>1.2410000000000001</v>
      </c>
    </row>
    <row r="74" spans="1:8" s="1" customFormat="1" x14ac:dyDescent="0.35">
      <c r="A74" s="1" t="s">
        <v>318</v>
      </c>
      <c r="B74" s="1" t="s">
        <v>177</v>
      </c>
      <c r="C74" s="1">
        <v>737</v>
      </c>
      <c r="D74" s="1">
        <v>1</v>
      </c>
      <c r="E74" s="1" t="s">
        <v>245</v>
      </c>
      <c r="F74" s="1">
        <v>0.55740000000000001</v>
      </c>
      <c r="G74" s="1">
        <v>0</v>
      </c>
      <c r="H74" s="2">
        <v>0.40300000000000002</v>
      </c>
    </row>
    <row r="75" spans="1:8" s="1" customFormat="1" x14ac:dyDescent="0.35">
      <c r="A75" s="1" t="s">
        <v>319</v>
      </c>
      <c r="B75" s="1" t="s">
        <v>177</v>
      </c>
      <c r="C75" s="1">
        <v>984</v>
      </c>
      <c r="D75" s="1">
        <v>1</v>
      </c>
      <c r="E75" s="1" t="s">
        <v>276</v>
      </c>
      <c r="F75" s="1">
        <v>0.78459999999999996</v>
      </c>
      <c r="G75" s="1">
        <v>1</v>
      </c>
      <c r="H75" s="2">
        <v>1.2410000000000001</v>
      </c>
    </row>
    <row r="76" spans="1:8" s="1" customFormat="1" x14ac:dyDescent="0.35">
      <c r="A76" s="1" t="s">
        <v>320</v>
      </c>
      <c r="B76" s="1" t="s">
        <v>175</v>
      </c>
      <c r="C76" s="1">
        <v>740</v>
      </c>
      <c r="D76" s="1">
        <v>2</v>
      </c>
      <c r="E76" s="1" t="s">
        <v>245</v>
      </c>
      <c r="F76" s="1">
        <v>9.0700000000000003E-2</v>
      </c>
      <c r="G76" s="1">
        <v>0</v>
      </c>
      <c r="H76" s="2">
        <v>6.6000000000000003E-2</v>
      </c>
    </row>
    <row r="77" spans="1:8" s="1" customFormat="1" x14ac:dyDescent="0.35">
      <c r="A77" s="1" t="s">
        <v>321</v>
      </c>
      <c r="B77" s="1" t="s">
        <v>175</v>
      </c>
      <c r="C77" s="3">
        <v>7543</v>
      </c>
      <c r="D77" s="1">
        <v>2</v>
      </c>
      <c r="E77" s="1" t="s">
        <v>245</v>
      </c>
      <c r="F77" s="1">
        <v>7.8200000000000006E-2</v>
      </c>
      <c r="G77" s="1">
        <v>0</v>
      </c>
      <c r="H77" s="2">
        <v>5.6000000000000001E-2</v>
      </c>
    </row>
    <row r="78" spans="1:8" s="1" customFormat="1" x14ac:dyDescent="0.35">
      <c r="A78" s="1" t="s">
        <v>322</v>
      </c>
      <c r="B78" s="1" t="s">
        <v>175</v>
      </c>
      <c r="C78" s="1">
        <v>615</v>
      </c>
      <c r="D78" s="1">
        <v>1</v>
      </c>
      <c r="E78" s="1" t="s">
        <v>245</v>
      </c>
      <c r="F78" s="1">
        <v>0.4103</v>
      </c>
      <c r="G78" s="1">
        <v>0</v>
      </c>
      <c r="H78" s="2">
        <v>0.29599999999999999</v>
      </c>
    </row>
    <row r="79" spans="1:8" s="1" customFormat="1" x14ac:dyDescent="0.35">
      <c r="A79" s="1" t="s">
        <v>323</v>
      </c>
      <c r="B79" s="1" t="s">
        <v>175</v>
      </c>
      <c r="C79" s="3">
        <v>1041</v>
      </c>
      <c r="D79" s="1">
        <v>2</v>
      </c>
      <c r="E79" s="1" t="s">
        <v>245</v>
      </c>
      <c r="F79" s="1">
        <v>0.26240000000000002</v>
      </c>
      <c r="G79" s="1">
        <v>0</v>
      </c>
      <c r="H79" s="2">
        <v>0.19</v>
      </c>
    </row>
    <row r="80" spans="1:8" s="1" customFormat="1" x14ac:dyDescent="0.35">
      <c r="A80" s="1" t="s">
        <v>324</v>
      </c>
      <c r="B80" s="1" t="s">
        <v>175</v>
      </c>
      <c r="C80" s="1">
        <v>235</v>
      </c>
      <c r="D80" s="1">
        <v>1</v>
      </c>
      <c r="E80" s="1" t="s">
        <v>245</v>
      </c>
      <c r="F80" s="1">
        <v>0.61270000000000002</v>
      </c>
      <c r="G80" s="1">
        <v>0</v>
      </c>
      <c r="H80" s="2">
        <v>0.443</v>
      </c>
    </row>
    <row r="81" spans="1:8" s="1" customFormat="1" x14ac:dyDescent="0.35">
      <c r="A81" s="1" t="s">
        <v>325</v>
      </c>
      <c r="B81" s="1" t="s">
        <v>175</v>
      </c>
      <c r="C81" s="1">
        <v>108</v>
      </c>
      <c r="D81" s="1">
        <v>2</v>
      </c>
      <c r="E81" s="1" t="s">
        <v>245</v>
      </c>
      <c r="F81" s="1">
        <v>0.61970000000000003</v>
      </c>
      <c r="G81" s="1">
        <v>0</v>
      </c>
      <c r="H81" s="2">
        <v>0.44800000000000001</v>
      </c>
    </row>
    <row r="82" spans="1:8" s="1" customFormat="1" x14ac:dyDescent="0.35">
      <c r="A82" s="1" t="s">
        <v>326</v>
      </c>
      <c r="B82" s="1" t="s">
        <v>175</v>
      </c>
      <c r="C82" s="1">
        <v>810</v>
      </c>
      <c r="D82" s="1">
        <v>2</v>
      </c>
      <c r="E82" s="1" t="s">
        <v>245</v>
      </c>
      <c r="F82" s="1">
        <v>0.46160000000000001</v>
      </c>
      <c r="G82" s="1">
        <v>0</v>
      </c>
      <c r="H82" s="2">
        <v>0.33400000000000002</v>
      </c>
    </row>
    <row r="83" spans="1:8" s="1" customFormat="1" x14ac:dyDescent="0.35">
      <c r="A83" s="1" t="s">
        <v>327</v>
      </c>
      <c r="B83" s="1" t="s">
        <v>175</v>
      </c>
      <c r="C83" s="1">
        <v>177</v>
      </c>
      <c r="D83" s="1">
        <v>1</v>
      </c>
      <c r="E83" s="1" t="s">
        <v>245</v>
      </c>
      <c r="F83" s="1">
        <v>0.72550000000000003</v>
      </c>
      <c r="G83" s="1">
        <v>0</v>
      </c>
      <c r="H83" s="2">
        <v>0.52400000000000002</v>
      </c>
    </row>
    <row r="84" spans="1:8" s="1" customFormat="1" x14ac:dyDescent="0.35">
      <c r="A84" s="1" t="s">
        <v>328</v>
      </c>
      <c r="B84" s="1" t="s">
        <v>175</v>
      </c>
      <c r="C84" s="1">
        <v>216</v>
      </c>
      <c r="D84" s="1">
        <v>3</v>
      </c>
      <c r="E84" s="1" t="s">
        <v>245</v>
      </c>
      <c r="F84" s="1">
        <v>0.57050000000000001</v>
      </c>
      <c r="G84" s="1">
        <v>0</v>
      </c>
      <c r="H84" s="2">
        <v>0.41199999999999998</v>
      </c>
    </row>
    <row r="85" spans="1:8" s="1" customFormat="1" x14ac:dyDescent="0.35">
      <c r="A85" s="1" t="s">
        <v>329</v>
      </c>
      <c r="B85" s="1" t="s">
        <v>175</v>
      </c>
      <c r="C85" s="1">
        <v>157</v>
      </c>
      <c r="D85" s="1">
        <v>2</v>
      </c>
      <c r="E85" s="1" t="s">
        <v>245</v>
      </c>
      <c r="F85" s="1">
        <v>0.51239999999999997</v>
      </c>
      <c r="G85" s="1">
        <v>0</v>
      </c>
      <c r="H85" s="2">
        <v>0.37</v>
      </c>
    </row>
    <row r="86" spans="1:8" s="1" customFormat="1" x14ac:dyDescent="0.35">
      <c r="A86" s="1" t="s">
        <v>330</v>
      </c>
      <c r="B86" s="1" t="s">
        <v>175</v>
      </c>
      <c r="C86" s="1">
        <v>288</v>
      </c>
      <c r="D86" s="1">
        <v>2</v>
      </c>
      <c r="E86" s="1" t="s">
        <v>245</v>
      </c>
      <c r="F86" s="1">
        <v>0.5091</v>
      </c>
      <c r="G86" s="1">
        <v>0</v>
      </c>
      <c r="H86" s="2">
        <v>0.36799999999999999</v>
      </c>
    </row>
    <row r="87" spans="1:8" s="1" customFormat="1" x14ac:dyDescent="0.35">
      <c r="A87" s="1" t="s">
        <v>331</v>
      </c>
      <c r="B87" s="1" t="s">
        <v>175</v>
      </c>
      <c r="C87" s="1">
        <v>371</v>
      </c>
      <c r="D87" s="1">
        <v>3</v>
      </c>
      <c r="E87" s="1" t="s">
        <v>245</v>
      </c>
      <c r="F87" s="1">
        <v>0.53</v>
      </c>
      <c r="G87" s="1">
        <v>0</v>
      </c>
      <c r="H87" s="2">
        <v>0.38300000000000001</v>
      </c>
    </row>
    <row r="88" spans="1:8" s="1" customFormat="1" x14ac:dyDescent="0.35">
      <c r="A88" s="1" t="s">
        <v>332</v>
      </c>
      <c r="B88" s="1" t="s">
        <v>175</v>
      </c>
      <c r="C88" s="1">
        <v>263</v>
      </c>
      <c r="D88" s="1">
        <v>2</v>
      </c>
      <c r="E88" s="1" t="s">
        <v>245</v>
      </c>
      <c r="F88" s="1">
        <v>0.55520000000000003</v>
      </c>
      <c r="G88" s="1">
        <v>0</v>
      </c>
      <c r="H88" s="2">
        <v>0.40100000000000002</v>
      </c>
    </row>
    <row r="89" spans="1:8" s="1" customFormat="1" x14ac:dyDescent="0.35">
      <c r="A89" s="1" t="s">
        <v>333</v>
      </c>
      <c r="B89" s="1" t="s">
        <v>175</v>
      </c>
      <c r="C89" s="1">
        <v>115</v>
      </c>
      <c r="D89" s="1">
        <v>2</v>
      </c>
      <c r="E89" s="1" t="s">
        <v>245</v>
      </c>
      <c r="F89" s="1">
        <v>0.58340000000000003</v>
      </c>
      <c r="G89" s="1">
        <v>0</v>
      </c>
      <c r="H89" s="2">
        <v>0.42199999999999999</v>
      </c>
    </row>
    <row r="90" spans="1:8" s="1" customFormat="1" x14ac:dyDescent="0.35">
      <c r="A90" s="1" t="s">
        <v>334</v>
      </c>
      <c r="B90" s="1" t="s">
        <v>175</v>
      </c>
      <c r="C90" s="1">
        <v>226</v>
      </c>
      <c r="D90" s="1">
        <v>1</v>
      </c>
      <c r="E90" s="1" t="s">
        <v>245</v>
      </c>
      <c r="F90" s="1">
        <v>0.1207</v>
      </c>
      <c r="G90" s="1">
        <v>0</v>
      </c>
      <c r="H90" s="2">
        <v>8.6999999999999994E-2</v>
      </c>
    </row>
    <row r="91" spans="1:8" s="1" customFormat="1" x14ac:dyDescent="0.35">
      <c r="A91" s="1" t="s">
        <v>335</v>
      </c>
      <c r="B91" s="1" t="s">
        <v>175</v>
      </c>
      <c r="C91" s="1">
        <v>208</v>
      </c>
      <c r="D91" s="1">
        <v>1</v>
      </c>
      <c r="E91" s="1" t="s">
        <v>245</v>
      </c>
      <c r="F91" s="1">
        <v>0.15279999999999999</v>
      </c>
      <c r="G91" s="1">
        <v>0</v>
      </c>
      <c r="H91" s="2">
        <v>0.11</v>
      </c>
    </row>
    <row r="92" spans="1:8" s="1" customFormat="1" x14ac:dyDescent="0.35">
      <c r="A92" s="1" t="s">
        <v>336</v>
      </c>
      <c r="B92" s="1" t="s">
        <v>175</v>
      </c>
      <c r="C92" s="1">
        <v>317</v>
      </c>
      <c r="D92" s="1">
        <v>1</v>
      </c>
      <c r="E92" s="1" t="s">
        <v>245</v>
      </c>
      <c r="F92" s="1">
        <v>0.159</v>
      </c>
      <c r="G92" s="1">
        <v>0</v>
      </c>
      <c r="H92" s="2">
        <v>0.115</v>
      </c>
    </row>
    <row r="93" spans="1:8" s="1" customFormat="1" x14ac:dyDescent="0.35">
      <c r="A93" s="1" t="s">
        <v>337</v>
      </c>
      <c r="B93" s="1" t="s">
        <v>175</v>
      </c>
      <c r="C93" s="1">
        <v>195</v>
      </c>
      <c r="D93" s="1">
        <v>1</v>
      </c>
      <c r="E93" s="1" t="s">
        <v>245</v>
      </c>
      <c r="F93" s="1">
        <v>0.16059999999999999</v>
      </c>
      <c r="G93" s="1">
        <v>0</v>
      </c>
      <c r="H93" s="2">
        <v>0.11600000000000001</v>
      </c>
    </row>
    <row r="94" spans="1:8" s="1" customFormat="1" x14ac:dyDescent="0.35">
      <c r="A94" s="1" t="s">
        <v>338</v>
      </c>
      <c r="B94" s="1" t="s">
        <v>175</v>
      </c>
      <c r="C94" s="1">
        <v>261</v>
      </c>
      <c r="D94" s="1">
        <v>1</v>
      </c>
      <c r="E94" s="1" t="s">
        <v>245</v>
      </c>
      <c r="F94" s="1">
        <v>0.1187</v>
      </c>
      <c r="G94" s="1">
        <v>0</v>
      </c>
      <c r="H94" s="2">
        <v>8.5999999999999993E-2</v>
      </c>
    </row>
    <row r="95" spans="1:8" s="1" customFormat="1" x14ac:dyDescent="0.35">
      <c r="A95" s="1" t="s">
        <v>339</v>
      </c>
      <c r="B95" s="1" t="s">
        <v>175</v>
      </c>
      <c r="C95" s="1">
        <v>878</v>
      </c>
      <c r="D95" s="1">
        <v>1</v>
      </c>
      <c r="E95" s="1" t="s">
        <v>245</v>
      </c>
      <c r="F95" s="1">
        <v>0.111</v>
      </c>
      <c r="G95" s="1">
        <v>0</v>
      </c>
      <c r="H95" s="2">
        <v>0.08</v>
      </c>
    </row>
    <row r="96" spans="1:8" s="1" customFormat="1" x14ac:dyDescent="0.35">
      <c r="A96" s="1" t="s">
        <v>340</v>
      </c>
      <c r="B96" s="1" t="s">
        <v>175</v>
      </c>
      <c r="C96" s="1">
        <v>131</v>
      </c>
      <c r="D96" s="1">
        <v>1</v>
      </c>
      <c r="E96" s="1" t="s">
        <v>245</v>
      </c>
      <c r="F96" s="1">
        <v>9.4700000000000006E-2</v>
      </c>
      <c r="G96" s="1">
        <v>0</v>
      </c>
      <c r="H96" s="2">
        <v>6.8000000000000005E-2</v>
      </c>
    </row>
    <row r="97" spans="1:8" s="1" customFormat="1" x14ac:dyDescent="0.35">
      <c r="A97" s="1" t="s">
        <v>341</v>
      </c>
      <c r="B97" s="1" t="s">
        <v>175</v>
      </c>
      <c r="C97" s="1">
        <v>656</v>
      </c>
      <c r="D97" s="1">
        <v>2</v>
      </c>
      <c r="E97" s="1" t="s">
        <v>245</v>
      </c>
      <c r="F97" s="1">
        <v>0.1638</v>
      </c>
      <c r="G97" s="1">
        <v>0</v>
      </c>
      <c r="H97" s="2">
        <v>0.11799999999999999</v>
      </c>
    </row>
    <row r="98" spans="1:8" s="1" customFormat="1" x14ac:dyDescent="0.35">
      <c r="A98" s="1" t="s">
        <v>342</v>
      </c>
      <c r="B98" s="1" t="s">
        <v>175</v>
      </c>
      <c r="C98" s="3">
        <v>2163</v>
      </c>
      <c r="D98" s="1">
        <v>2</v>
      </c>
      <c r="E98" s="1" t="s">
        <v>276</v>
      </c>
      <c r="F98" s="1">
        <v>0.85170000000000001</v>
      </c>
      <c r="G98" s="1">
        <v>1</v>
      </c>
      <c r="H98" s="2">
        <v>1.2889999999999999</v>
      </c>
    </row>
    <row r="99" spans="1:8" s="1" customFormat="1" x14ac:dyDescent="0.35">
      <c r="A99" s="1" t="s">
        <v>343</v>
      </c>
      <c r="B99" s="1" t="s">
        <v>175</v>
      </c>
      <c r="C99" s="3">
        <v>1501</v>
      </c>
      <c r="D99" s="1">
        <v>1</v>
      </c>
      <c r="E99" s="1" t="s">
        <v>276</v>
      </c>
      <c r="F99" s="1">
        <v>0.57399999999999995</v>
      </c>
      <c r="G99" s="1">
        <v>1</v>
      </c>
      <c r="H99" s="2">
        <v>1.0880000000000001</v>
      </c>
    </row>
    <row r="100" spans="1:8" s="1" customFormat="1" x14ac:dyDescent="0.35">
      <c r="A100" s="1" t="s">
        <v>344</v>
      </c>
      <c r="B100" s="1" t="s">
        <v>175</v>
      </c>
      <c r="C100" s="3">
        <v>1560</v>
      </c>
      <c r="D100" s="1">
        <v>2</v>
      </c>
      <c r="E100" s="1" t="s">
        <v>276</v>
      </c>
      <c r="F100" s="1">
        <v>0.56120000000000003</v>
      </c>
      <c r="G100" s="1">
        <v>1</v>
      </c>
      <c r="H100" s="2">
        <v>1.079</v>
      </c>
    </row>
    <row r="101" spans="1:8" s="1" customFormat="1" x14ac:dyDescent="0.35">
      <c r="A101" s="1" t="s">
        <v>345</v>
      </c>
      <c r="B101" s="1" t="s">
        <v>175</v>
      </c>
      <c r="C101" s="1">
        <v>94</v>
      </c>
      <c r="D101" s="1">
        <v>1</v>
      </c>
      <c r="E101" s="1" t="s">
        <v>245</v>
      </c>
      <c r="F101" s="1">
        <v>0.45600000000000002</v>
      </c>
      <c r="G101" s="1">
        <v>0</v>
      </c>
      <c r="H101" s="2">
        <v>0.33</v>
      </c>
    </row>
    <row r="102" spans="1:8" s="1" customFormat="1" x14ac:dyDescent="0.35">
      <c r="A102" s="1" t="s">
        <v>346</v>
      </c>
      <c r="B102" s="1" t="s">
        <v>175</v>
      </c>
      <c r="C102" s="1">
        <v>195</v>
      </c>
      <c r="D102" s="1">
        <v>1</v>
      </c>
      <c r="E102" s="1" t="s">
        <v>276</v>
      </c>
      <c r="F102" s="1">
        <v>0.8962</v>
      </c>
      <c r="G102" s="1">
        <v>1</v>
      </c>
      <c r="H102" s="2">
        <v>1.321</v>
      </c>
    </row>
    <row r="103" spans="1:8" s="1" customFormat="1" x14ac:dyDescent="0.35">
      <c r="A103" s="1" t="s">
        <v>347</v>
      </c>
      <c r="B103" s="1" t="s">
        <v>175</v>
      </c>
      <c r="C103" s="1">
        <v>194</v>
      </c>
      <c r="D103" s="1">
        <v>1</v>
      </c>
      <c r="E103" s="1" t="s">
        <v>245</v>
      </c>
      <c r="F103" s="1">
        <v>0.44569999999999999</v>
      </c>
      <c r="G103" s="1">
        <v>0</v>
      </c>
      <c r="H103" s="2">
        <v>0.32200000000000001</v>
      </c>
    </row>
    <row r="104" spans="1:8" s="1" customFormat="1" x14ac:dyDescent="0.35">
      <c r="A104" s="1" t="s">
        <v>348</v>
      </c>
      <c r="B104" s="1" t="s">
        <v>175</v>
      </c>
      <c r="C104" s="1">
        <v>224</v>
      </c>
      <c r="D104" s="1">
        <v>1</v>
      </c>
      <c r="E104" s="1" t="s">
        <v>245</v>
      </c>
      <c r="F104" s="1">
        <v>0.47770000000000001</v>
      </c>
      <c r="G104" s="1">
        <v>0</v>
      </c>
      <c r="H104" s="2">
        <v>0.34499999999999997</v>
      </c>
    </row>
    <row r="105" spans="1:8" s="1" customFormat="1" x14ac:dyDescent="0.35">
      <c r="A105" s="1" t="s">
        <v>349</v>
      </c>
      <c r="B105" s="1" t="s">
        <v>175</v>
      </c>
      <c r="C105" s="1">
        <v>638</v>
      </c>
      <c r="D105" s="1">
        <v>1</v>
      </c>
      <c r="E105" s="1" t="s">
        <v>245</v>
      </c>
      <c r="F105" s="1">
        <v>0.58199999999999996</v>
      </c>
      <c r="G105" s="1">
        <v>0</v>
      </c>
      <c r="H105" s="2">
        <v>0.42099999999999999</v>
      </c>
    </row>
    <row r="106" spans="1:8" s="1" customFormat="1" x14ac:dyDescent="0.35">
      <c r="A106" s="1" t="s">
        <v>350</v>
      </c>
      <c r="B106" s="1" t="s">
        <v>175</v>
      </c>
      <c r="C106" s="1">
        <v>827</v>
      </c>
      <c r="D106" s="1">
        <v>1</v>
      </c>
      <c r="E106" s="1" t="s">
        <v>245</v>
      </c>
      <c r="F106" s="1">
        <v>0.57909999999999995</v>
      </c>
      <c r="G106" s="1">
        <v>0</v>
      </c>
      <c r="H106" s="2">
        <v>0.41799999999999998</v>
      </c>
    </row>
    <row r="107" spans="1:8" s="1" customFormat="1" x14ac:dyDescent="0.35">
      <c r="A107" s="1" t="s">
        <v>351</v>
      </c>
      <c r="B107" s="1" t="s">
        <v>175</v>
      </c>
      <c r="C107" s="1">
        <v>191</v>
      </c>
      <c r="D107" s="1">
        <v>2</v>
      </c>
      <c r="E107" s="1" t="s">
        <v>245</v>
      </c>
      <c r="F107" s="1">
        <v>0.51170000000000004</v>
      </c>
      <c r="G107" s="1">
        <v>0</v>
      </c>
      <c r="H107" s="2">
        <v>0.37</v>
      </c>
    </row>
    <row r="108" spans="1:8" s="1" customFormat="1" x14ac:dyDescent="0.35">
      <c r="A108" s="1" t="s">
        <v>352</v>
      </c>
      <c r="B108" s="1" t="s">
        <v>175</v>
      </c>
      <c r="C108" s="1">
        <v>186</v>
      </c>
      <c r="D108" s="1">
        <v>2</v>
      </c>
      <c r="E108" s="1" t="s">
        <v>245</v>
      </c>
      <c r="F108" s="1">
        <v>0.51859999999999995</v>
      </c>
      <c r="G108" s="1">
        <v>0</v>
      </c>
      <c r="H108" s="2">
        <v>0.375</v>
      </c>
    </row>
    <row r="109" spans="1:8" s="1" customFormat="1" x14ac:dyDescent="0.35">
      <c r="A109" s="1" t="s">
        <v>353</v>
      </c>
      <c r="B109" s="1" t="s">
        <v>175</v>
      </c>
      <c r="C109" s="1">
        <v>421</v>
      </c>
      <c r="D109" s="1">
        <v>1</v>
      </c>
      <c r="E109" s="1" t="s">
        <v>245</v>
      </c>
      <c r="F109" s="1">
        <v>0.4294</v>
      </c>
      <c r="G109" s="1">
        <v>0</v>
      </c>
      <c r="H109" s="2">
        <v>0.31</v>
      </c>
    </row>
    <row r="110" spans="1:8" s="1" customFormat="1" x14ac:dyDescent="0.35">
      <c r="A110" s="1" t="s">
        <v>354</v>
      </c>
      <c r="B110" s="1" t="s">
        <v>175</v>
      </c>
      <c r="C110" s="1">
        <v>542</v>
      </c>
      <c r="D110" s="1">
        <v>3</v>
      </c>
      <c r="E110" s="1" t="s">
        <v>245</v>
      </c>
      <c r="F110" s="1">
        <v>0.29520000000000002</v>
      </c>
      <c r="G110" s="1">
        <v>0</v>
      </c>
      <c r="H110" s="2">
        <v>0.21299999999999999</v>
      </c>
    </row>
    <row r="111" spans="1:8" s="1" customFormat="1" x14ac:dyDescent="0.35">
      <c r="A111" s="1" t="s">
        <v>355</v>
      </c>
      <c r="B111" s="1" t="s">
        <v>175</v>
      </c>
      <c r="C111" s="1">
        <v>222</v>
      </c>
      <c r="D111" s="1">
        <v>3</v>
      </c>
      <c r="E111" s="1" t="s">
        <v>245</v>
      </c>
      <c r="F111" s="1">
        <v>0.2989</v>
      </c>
      <c r="G111" s="1">
        <v>0</v>
      </c>
      <c r="H111" s="2">
        <v>0.216</v>
      </c>
    </row>
    <row r="112" spans="1:8" s="1" customFormat="1" x14ac:dyDescent="0.35">
      <c r="A112" s="1" t="s">
        <v>356</v>
      </c>
      <c r="B112" s="1" t="s">
        <v>175</v>
      </c>
      <c r="C112" s="1">
        <v>70</v>
      </c>
      <c r="D112" s="1">
        <v>1</v>
      </c>
      <c r="E112" s="1" t="s">
        <v>245</v>
      </c>
      <c r="F112" s="1">
        <v>0.54790000000000005</v>
      </c>
      <c r="G112" s="1">
        <v>0</v>
      </c>
      <c r="H112" s="2">
        <v>0.39600000000000002</v>
      </c>
    </row>
    <row r="113" spans="1:8" s="1" customFormat="1" x14ac:dyDescent="0.35">
      <c r="A113" s="1" t="s">
        <v>357</v>
      </c>
      <c r="B113" s="1" t="s">
        <v>175</v>
      </c>
      <c r="C113" s="1">
        <v>168</v>
      </c>
      <c r="D113" s="1">
        <v>1</v>
      </c>
      <c r="E113" s="1" t="s">
        <v>245</v>
      </c>
      <c r="F113" s="1">
        <v>0.5101</v>
      </c>
      <c r="G113" s="1">
        <v>0</v>
      </c>
      <c r="H113" s="2">
        <v>0.36899999999999999</v>
      </c>
    </row>
    <row r="114" spans="1:8" s="1" customFormat="1" x14ac:dyDescent="0.35">
      <c r="A114" s="1" t="s">
        <v>358</v>
      </c>
      <c r="B114" s="1" t="s">
        <v>175</v>
      </c>
      <c r="C114" s="1">
        <v>575</v>
      </c>
      <c r="D114" s="1">
        <v>1</v>
      </c>
      <c r="E114" s="1" t="s">
        <v>245</v>
      </c>
      <c r="F114" s="1">
        <v>0.51970000000000005</v>
      </c>
      <c r="G114" s="1">
        <v>0</v>
      </c>
      <c r="H114" s="2">
        <v>0.376</v>
      </c>
    </row>
    <row r="115" spans="1:8" s="1" customFormat="1" x14ac:dyDescent="0.35">
      <c r="A115" s="1" t="s">
        <v>359</v>
      </c>
      <c r="B115" s="1" t="s">
        <v>175</v>
      </c>
      <c r="C115" s="3">
        <v>2689</v>
      </c>
      <c r="D115" s="1">
        <v>2</v>
      </c>
      <c r="E115" s="1" t="s">
        <v>245</v>
      </c>
      <c r="F115" s="1">
        <v>0.13669999999999999</v>
      </c>
      <c r="G115" s="1">
        <v>0</v>
      </c>
      <c r="H115" s="2">
        <v>9.9000000000000005E-2</v>
      </c>
    </row>
    <row r="116" spans="1:8" s="1" customFormat="1" x14ac:dyDescent="0.35">
      <c r="A116" s="1" t="s">
        <v>360</v>
      </c>
      <c r="B116" s="1" t="s">
        <v>175</v>
      </c>
      <c r="C116" s="1">
        <v>495</v>
      </c>
      <c r="D116" s="1">
        <v>1</v>
      </c>
      <c r="E116" s="1" t="s">
        <v>245</v>
      </c>
      <c r="F116" s="1">
        <v>0.112</v>
      </c>
      <c r="G116" s="1">
        <v>0</v>
      </c>
      <c r="H116" s="2">
        <v>8.1000000000000003E-2</v>
      </c>
    </row>
    <row r="117" spans="1:8" s="1" customFormat="1" x14ac:dyDescent="0.35">
      <c r="A117" s="1" t="s">
        <v>361</v>
      </c>
      <c r="B117" s="1" t="s">
        <v>175</v>
      </c>
      <c r="C117" s="3">
        <v>1059</v>
      </c>
      <c r="D117" s="1">
        <v>1</v>
      </c>
      <c r="E117" s="1" t="s">
        <v>245</v>
      </c>
      <c r="F117" s="1">
        <v>0.1356</v>
      </c>
      <c r="G117" s="1">
        <v>0</v>
      </c>
      <c r="H117" s="2">
        <v>9.8000000000000004E-2</v>
      </c>
    </row>
    <row r="118" spans="1:8" s="1" customFormat="1" x14ac:dyDescent="0.35">
      <c r="A118" s="1" t="s">
        <v>362</v>
      </c>
      <c r="B118" s="1" t="s">
        <v>175</v>
      </c>
      <c r="C118" s="1">
        <v>362</v>
      </c>
      <c r="D118" s="1">
        <v>1</v>
      </c>
      <c r="E118" s="1" t="s">
        <v>245</v>
      </c>
      <c r="F118" s="1">
        <v>0.12039999999999999</v>
      </c>
      <c r="G118" s="1">
        <v>0</v>
      </c>
      <c r="H118" s="2">
        <v>8.6999999999999994E-2</v>
      </c>
    </row>
    <row r="119" spans="1:8" s="1" customFormat="1" x14ac:dyDescent="0.35">
      <c r="A119" s="1" t="s">
        <v>363</v>
      </c>
      <c r="B119" s="1" t="s">
        <v>175</v>
      </c>
      <c r="C119" s="1">
        <v>440</v>
      </c>
      <c r="D119" s="1">
        <v>1</v>
      </c>
      <c r="E119" s="1" t="s">
        <v>245</v>
      </c>
      <c r="F119" s="1">
        <v>0.24929999999999999</v>
      </c>
      <c r="G119" s="1">
        <v>0</v>
      </c>
      <c r="H119" s="2">
        <v>0.18</v>
      </c>
    </row>
    <row r="120" spans="1:8" s="1" customFormat="1" x14ac:dyDescent="0.35">
      <c r="A120" s="1" t="s">
        <v>364</v>
      </c>
      <c r="B120" s="1" t="s">
        <v>175</v>
      </c>
      <c r="C120" s="3">
        <v>2524</v>
      </c>
      <c r="D120" s="1">
        <v>1</v>
      </c>
      <c r="E120" s="1" t="s">
        <v>245</v>
      </c>
      <c r="F120" s="1">
        <v>0.14219999999999999</v>
      </c>
      <c r="G120" s="1">
        <v>0</v>
      </c>
      <c r="H120" s="2">
        <v>0.10299999999999999</v>
      </c>
    </row>
    <row r="121" spans="1:8" s="1" customFormat="1" x14ac:dyDescent="0.35">
      <c r="A121" s="1" t="s">
        <v>365</v>
      </c>
      <c r="B121" s="1" t="s">
        <v>175</v>
      </c>
      <c r="C121" s="3">
        <v>27595</v>
      </c>
      <c r="D121" s="1">
        <v>1</v>
      </c>
      <c r="E121" s="1" t="s">
        <v>245</v>
      </c>
      <c r="F121" s="1">
        <v>0.23200000000000001</v>
      </c>
      <c r="G121" s="1">
        <v>0</v>
      </c>
      <c r="H121" s="2">
        <v>0.16800000000000001</v>
      </c>
    </row>
    <row r="122" spans="1:8" s="1" customFormat="1" x14ac:dyDescent="0.35">
      <c r="A122" s="1" t="s">
        <v>366</v>
      </c>
      <c r="B122" s="1" t="s">
        <v>175</v>
      </c>
      <c r="C122" s="1">
        <v>783</v>
      </c>
      <c r="D122" s="1">
        <v>1</v>
      </c>
      <c r="E122" s="1" t="s">
        <v>245</v>
      </c>
      <c r="F122" s="1">
        <v>0.1149</v>
      </c>
      <c r="G122" s="1">
        <v>0</v>
      </c>
      <c r="H122" s="2">
        <v>8.3000000000000004E-2</v>
      </c>
    </row>
    <row r="123" spans="1:8" s="1" customFormat="1" x14ac:dyDescent="0.35">
      <c r="A123" s="1" t="s">
        <v>367</v>
      </c>
      <c r="B123" s="1" t="s">
        <v>175</v>
      </c>
      <c r="C123" s="1">
        <v>395</v>
      </c>
      <c r="D123" s="1">
        <v>1</v>
      </c>
      <c r="E123" s="1" t="s">
        <v>245</v>
      </c>
      <c r="F123" s="1">
        <v>0.18129999999999999</v>
      </c>
      <c r="G123" s="1">
        <v>0</v>
      </c>
      <c r="H123" s="2">
        <v>0.13100000000000001</v>
      </c>
    </row>
    <row r="124" spans="1:8" s="1" customFormat="1" x14ac:dyDescent="0.35">
      <c r="A124" s="1" t="s">
        <v>368</v>
      </c>
      <c r="B124" s="1" t="s">
        <v>175</v>
      </c>
      <c r="C124" s="1">
        <v>153</v>
      </c>
      <c r="D124" s="1">
        <v>1</v>
      </c>
      <c r="E124" s="1" t="s">
        <v>245</v>
      </c>
      <c r="F124" s="1">
        <v>0.1148</v>
      </c>
      <c r="G124" s="1">
        <v>0</v>
      </c>
      <c r="H124" s="2">
        <v>8.3000000000000004E-2</v>
      </c>
    </row>
    <row r="125" spans="1:8" s="1" customFormat="1" x14ac:dyDescent="0.35">
      <c r="A125" s="1" t="s">
        <v>369</v>
      </c>
      <c r="B125" s="1" t="s">
        <v>175</v>
      </c>
      <c r="C125" s="3">
        <v>1347</v>
      </c>
      <c r="D125" s="1">
        <v>1</v>
      </c>
      <c r="E125" s="1" t="s">
        <v>245</v>
      </c>
      <c r="F125" s="1">
        <v>0.1138</v>
      </c>
      <c r="G125" s="1">
        <v>0</v>
      </c>
      <c r="H125" s="2">
        <v>8.2000000000000003E-2</v>
      </c>
    </row>
    <row r="126" spans="1:8" s="1" customFormat="1" x14ac:dyDescent="0.35">
      <c r="A126" s="1" t="s">
        <v>370</v>
      </c>
      <c r="B126" s="1" t="s">
        <v>175</v>
      </c>
      <c r="C126" s="3">
        <v>1589</v>
      </c>
      <c r="D126" s="1">
        <v>1</v>
      </c>
      <c r="E126" s="1" t="s">
        <v>245</v>
      </c>
      <c r="F126" s="1">
        <v>0.23699999999999999</v>
      </c>
      <c r="G126" s="1">
        <v>0</v>
      </c>
      <c r="H126" s="2">
        <v>0.17100000000000001</v>
      </c>
    </row>
    <row r="127" spans="1:8" s="1" customFormat="1" x14ac:dyDescent="0.35">
      <c r="A127" s="1" t="s">
        <v>371</v>
      </c>
      <c r="B127" s="1" t="s">
        <v>175</v>
      </c>
      <c r="C127" s="3">
        <v>1011</v>
      </c>
      <c r="D127" s="1">
        <v>1</v>
      </c>
      <c r="E127" s="1" t="s">
        <v>245</v>
      </c>
      <c r="F127" s="1">
        <v>0.19650000000000001</v>
      </c>
      <c r="G127" s="1">
        <v>0</v>
      </c>
      <c r="H127" s="2">
        <v>0.14199999999999999</v>
      </c>
    </row>
    <row r="128" spans="1:8" s="1" customFormat="1" x14ac:dyDescent="0.35">
      <c r="A128" s="1" t="s">
        <v>372</v>
      </c>
      <c r="B128" s="1" t="s">
        <v>175</v>
      </c>
      <c r="C128" s="1">
        <v>639</v>
      </c>
      <c r="D128" s="1">
        <v>1</v>
      </c>
      <c r="E128" s="1" t="s">
        <v>245</v>
      </c>
      <c r="F128" s="1">
        <v>0.1883</v>
      </c>
      <c r="G128" s="1">
        <v>0</v>
      </c>
      <c r="H128" s="2">
        <v>0.13600000000000001</v>
      </c>
    </row>
    <row r="129" spans="1:8" s="1" customFormat="1" x14ac:dyDescent="0.35">
      <c r="A129" s="1" t="s">
        <v>373</v>
      </c>
      <c r="B129" s="1" t="s">
        <v>175</v>
      </c>
      <c r="C129" s="1">
        <v>55</v>
      </c>
      <c r="D129" s="1">
        <v>1</v>
      </c>
      <c r="E129" s="1" t="s">
        <v>245</v>
      </c>
      <c r="F129" s="1">
        <v>0.71750000000000003</v>
      </c>
      <c r="G129" s="1">
        <v>0</v>
      </c>
      <c r="H129" s="2">
        <v>0.51800000000000002</v>
      </c>
    </row>
    <row r="130" spans="1:8" s="1" customFormat="1" x14ac:dyDescent="0.35">
      <c r="A130" s="1" t="s">
        <v>374</v>
      </c>
      <c r="B130" s="1" t="s">
        <v>175</v>
      </c>
      <c r="C130" s="1">
        <v>101</v>
      </c>
      <c r="D130" s="1">
        <v>1</v>
      </c>
      <c r="E130" s="1" t="s">
        <v>245</v>
      </c>
      <c r="F130" s="1">
        <v>0.30399999999999999</v>
      </c>
      <c r="G130" s="1">
        <v>0</v>
      </c>
      <c r="H130" s="2">
        <v>0.22</v>
      </c>
    </row>
    <row r="131" spans="1:8" s="1" customFormat="1" x14ac:dyDescent="0.35">
      <c r="A131" s="1" t="s">
        <v>375</v>
      </c>
      <c r="B131" s="1" t="s">
        <v>175</v>
      </c>
      <c r="C131" s="3">
        <v>2500</v>
      </c>
      <c r="D131" s="1">
        <v>1</v>
      </c>
      <c r="E131" s="1" t="s">
        <v>245</v>
      </c>
      <c r="F131" s="1">
        <v>0.41520000000000001</v>
      </c>
      <c r="G131" s="1">
        <v>0</v>
      </c>
      <c r="H131" s="2">
        <v>0.3</v>
      </c>
    </row>
    <row r="132" spans="1:8" s="1" customFormat="1" x14ac:dyDescent="0.35">
      <c r="A132" s="1" t="s">
        <v>376</v>
      </c>
      <c r="B132" s="1" t="s">
        <v>175</v>
      </c>
      <c r="C132" s="1">
        <v>134</v>
      </c>
      <c r="D132" s="1">
        <v>1</v>
      </c>
      <c r="E132" s="1" t="s">
        <v>245</v>
      </c>
      <c r="F132" s="1">
        <v>0.39150000000000001</v>
      </c>
      <c r="G132" s="1">
        <v>0</v>
      </c>
      <c r="H132" s="2">
        <v>0.28299999999999997</v>
      </c>
    </row>
    <row r="133" spans="1:8" s="1" customFormat="1" x14ac:dyDescent="0.35">
      <c r="A133" s="1" t="s">
        <v>377</v>
      </c>
      <c r="B133" s="1" t="s">
        <v>175</v>
      </c>
      <c r="C133" s="1">
        <v>137</v>
      </c>
      <c r="D133" s="1">
        <v>1</v>
      </c>
      <c r="E133" s="1" t="s">
        <v>245</v>
      </c>
      <c r="F133" s="1">
        <v>0.62990000000000002</v>
      </c>
      <c r="G133" s="1">
        <v>0</v>
      </c>
      <c r="H133" s="2">
        <v>0.45500000000000002</v>
      </c>
    </row>
    <row r="134" spans="1:8" s="1" customFormat="1" x14ac:dyDescent="0.35">
      <c r="A134" s="1" t="s">
        <v>378</v>
      </c>
      <c r="B134" s="1" t="s">
        <v>175</v>
      </c>
      <c r="C134" s="3">
        <v>1140</v>
      </c>
      <c r="D134" s="1">
        <v>1</v>
      </c>
      <c r="E134" s="1" t="s">
        <v>245</v>
      </c>
      <c r="F134" s="1">
        <v>0.376</v>
      </c>
      <c r="G134" s="1">
        <v>0</v>
      </c>
      <c r="H134" s="2">
        <v>0.27200000000000002</v>
      </c>
    </row>
    <row r="135" spans="1:8" s="1" customFormat="1" x14ac:dyDescent="0.35">
      <c r="A135" s="1" t="s">
        <v>379</v>
      </c>
      <c r="B135" s="1" t="s">
        <v>175</v>
      </c>
      <c r="C135" s="1">
        <v>372</v>
      </c>
      <c r="D135" s="1">
        <v>1</v>
      </c>
      <c r="E135" s="1" t="s">
        <v>245</v>
      </c>
      <c r="F135" s="1">
        <v>0.38679999999999998</v>
      </c>
      <c r="G135" s="1">
        <v>0</v>
      </c>
      <c r="H135" s="2">
        <v>0.28000000000000003</v>
      </c>
    </row>
    <row r="136" spans="1:8" s="1" customFormat="1" x14ac:dyDescent="0.35">
      <c r="A136" s="1" t="s">
        <v>380</v>
      </c>
      <c r="B136" s="1" t="s">
        <v>175</v>
      </c>
      <c r="C136" s="1">
        <v>884</v>
      </c>
      <c r="D136" s="1">
        <v>1</v>
      </c>
      <c r="E136" s="1" t="s">
        <v>245</v>
      </c>
      <c r="F136" s="1">
        <v>0.40310000000000001</v>
      </c>
      <c r="G136" s="1">
        <v>0</v>
      </c>
      <c r="H136" s="2">
        <v>0.29099999999999998</v>
      </c>
    </row>
    <row r="137" spans="1:8" s="1" customFormat="1" x14ac:dyDescent="0.35">
      <c r="A137" s="1" t="s">
        <v>381</v>
      </c>
      <c r="B137" s="1" t="s">
        <v>175</v>
      </c>
      <c r="C137" s="1">
        <v>590</v>
      </c>
      <c r="D137" s="1">
        <v>1</v>
      </c>
      <c r="E137" s="1" t="s">
        <v>245</v>
      </c>
      <c r="F137" s="1">
        <v>0.53790000000000004</v>
      </c>
      <c r="G137" s="1">
        <v>0</v>
      </c>
      <c r="H137" s="2">
        <v>0.38900000000000001</v>
      </c>
    </row>
    <row r="138" spans="1:8" s="1" customFormat="1" x14ac:dyDescent="0.35">
      <c r="A138" s="1" t="s">
        <v>382</v>
      </c>
      <c r="B138" s="1" t="s">
        <v>175</v>
      </c>
      <c r="C138" s="3">
        <v>1014</v>
      </c>
      <c r="D138" s="1">
        <v>1</v>
      </c>
      <c r="E138" s="1" t="s">
        <v>276</v>
      </c>
      <c r="F138" s="1">
        <v>0.8276</v>
      </c>
      <c r="G138" s="1">
        <v>1</v>
      </c>
      <c r="H138" s="2">
        <v>1.272</v>
      </c>
    </row>
    <row r="139" spans="1:8" s="1" customFormat="1" x14ac:dyDescent="0.35">
      <c r="A139" s="1" t="s">
        <v>383</v>
      </c>
      <c r="B139" s="1" t="s">
        <v>175</v>
      </c>
      <c r="C139" s="1">
        <v>385</v>
      </c>
      <c r="D139" s="1">
        <v>1</v>
      </c>
      <c r="E139" s="1" t="s">
        <v>245</v>
      </c>
      <c r="F139" s="1">
        <v>0.54310000000000003</v>
      </c>
      <c r="G139" s="1">
        <v>0</v>
      </c>
      <c r="H139" s="2">
        <v>0.39200000000000002</v>
      </c>
    </row>
    <row r="140" spans="1:8" s="1" customFormat="1" x14ac:dyDescent="0.35">
      <c r="A140" s="1" t="s">
        <v>384</v>
      </c>
      <c r="B140" s="1" t="s">
        <v>175</v>
      </c>
      <c r="C140" s="1">
        <v>210</v>
      </c>
      <c r="D140" s="1">
        <v>1</v>
      </c>
      <c r="E140" s="1" t="s">
        <v>245</v>
      </c>
      <c r="F140" s="1">
        <v>0.55020000000000002</v>
      </c>
      <c r="G140" s="1">
        <v>0</v>
      </c>
      <c r="H140" s="2">
        <v>0.39800000000000002</v>
      </c>
    </row>
    <row r="141" spans="1:8" s="1" customFormat="1" x14ac:dyDescent="0.35">
      <c r="A141" s="1" t="s">
        <v>385</v>
      </c>
      <c r="B141" s="1" t="s">
        <v>175</v>
      </c>
      <c r="C141" s="1">
        <v>252</v>
      </c>
      <c r="D141" s="1">
        <v>1</v>
      </c>
      <c r="E141" s="1" t="s">
        <v>276</v>
      </c>
      <c r="F141" s="1">
        <v>0.61180000000000001</v>
      </c>
      <c r="G141" s="1">
        <v>1</v>
      </c>
      <c r="H141" s="2">
        <v>1.1160000000000001</v>
      </c>
    </row>
    <row r="142" spans="1:8" s="1" customFormat="1" x14ac:dyDescent="0.35">
      <c r="A142" s="1" t="s">
        <v>386</v>
      </c>
      <c r="B142" s="1" t="s">
        <v>175</v>
      </c>
      <c r="C142" s="1">
        <v>981</v>
      </c>
      <c r="D142" s="1">
        <v>1</v>
      </c>
      <c r="E142" s="1" t="s">
        <v>245</v>
      </c>
      <c r="F142" s="1">
        <v>0.30869999999999997</v>
      </c>
      <c r="G142" s="1">
        <v>0</v>
      </c>
      <c r="H142" s="2">
        <v>0.223</v>
      </c>
    </row>
    <row r="143" spans="1:8" s="1" customFormat="1" x14ac:dyDescent="0.35">
      <c r="A143" s="1" t="s">
        <v>387</v>
      </c>
      <c r="B143" s="1" t="s">
        <v>175</v>
      </c>
      <c r="C143" s="1">
        <v>247</v>
      </c>
      <c r="D143" s="1">
        <v>1</v>
      </c>
      <c r="E143" s="1" t="s">
        <v>245</v>
      </c>
      <c r="F143" s="1">
        <v>0.47849999999999998</v>
      </c>
      <c r="G143" s="1">
        <v>0</v>
      </c>
      <c r="H143" s="2">
        <v>0.34599999999999997</v>
      </c>
    </row>
    <row r="144" spans="1:8" s="1" customFormat="1" x14ac:dyDescent="0.35">
      <c r="A144" s="1" t="s">
        <v>388</v>
      </c>
      <c r="B144" s="1" t="s">
        <v>175</v>
      </c>
      <c r="C144" s="1">
        <v>0</v>
      </c>
      <c r="D144" s="1">
        <v>2</v>
      </c>
      <c r="E144" s="1" t="s">
        <v>245</v>
      </c>
      <c r="F144" s="1">
        <v>0.44159999999999999</v>
      </c>
      <c r="G144" s="1">
        <v>0</v>
      </c>
      <c r="H144" s="2">
        <v>0.31900000000000001</v>
      </c>
    </row>
    <row r="145" spans="1:8" s="1" customFormat="1" x14ac:dyDescent="0.35">
      <c r="A145" s="1" t="s">
        <v>389</v>
      </c>
      <c r="B145" s="1" t="s">
        <v>175</v>
      </c>
      <c r="C145" s="1">
        <v>325</v>
      </c>
      <c r="D145" s="1">
        <v>1</v>
      </c>
      <c r="E145" s="1" t="s">
        <v>245</v>
      </c>
      <c r="F145" s="1">
        <v>0.50190000000000001</v>
      </c>
      <c r="G145" s="1">
        <v>0</v>
      </c>
      <c r="H145" s="2">
        <v>0.36299999999999999</v>
      </c>
    </row>
    <row r="146" spans="1:8" s="1" customFormat="1" x14ac:dyDescent="0.35">
      <c r="A146" s="1" t="s">
        <v>390</v>
      </c>
      <c r="B146" s="1" t="s">
        <v>175</v>
      </c>
      <c r="C146" s="1">
        <v>89</v>
      </c>
      <c r="D146" s="1">
        <v>1</v>
      </c>
      <c r="E146" s="1" t="s">
        <v>245</v>
      </c>
      <c r="F146" s="1">
        <v>0.43480000000000002</v>
      </c>
      <c r="G146" s="1">
        <v>0</v>
      </c>
      <c r="H146" s="2">
        <v>0.314</v>
      </c>
    </row>
    <row r="147" spans="1:8" s="1" customFormat="1" x14ac:dyDescent="0.35">
      <c r="A147" s="1" t="s">
        <v>391</v>
      </c>
      <c r="B147" s="1" t="s">
        <v>175</v>
      </c>
      <c r="C147" s="1">
        <v>443</v>
      </c>
      <c r="D147" s="1">
        <v>1</v>
      </c>
      <c r="E147" s="1" t="s">
        <v>245</v>
      </c>
      <c r="F147" s="1">
        <v>0.56830000000000003</v>
      </c>
      <c r="G147" s="1">
        <v>0</v>
      </c>
      <c r="H147" s="2">
        <v>0.41099999999999998</v>
      </c>
    </row>
    <row r="148" spans="1:8" s="1" customFormat="1" x14ac:dyDescent="0.35">
      <c r="A148" s="1" t="s">
        <v>392</v>
      </c>
      <c r="B148" s="1" t="s">
        <v>175</v>
      </c>
      <c r="C148" s="1">
        <v>293</v>
      </c>
      <c r="D148" s="1">
        <v>1</v>
      </c>
      <c r="E148" s="1" t="s">
        <v>245</v>
      </c>
      <c r="F148" s="1">
        <v>0.40960000000000002</v>
      </c>
      <c r="G148" s="1">
        <v>0</v>
      </c>
      <c r="H148" s="2">
        <v>0.29599999999999999</v>
      </c>
    </row>
    <row r="149" spans="1:8" s="1" customFormat="1" x14ac:dyDescent="0.35">
      <c r="A149" s="1" t="s">
        <v>393</v>
      </c>
      <c r="B149" s="1" t="s">
        <v>175</v>
      </c>
      <c r="C149" s="1">
        <v>0</v>
      </c>
      <c r="D149" s="1">
        <v>1</v>
      </c>
      <c r="E149" s="1" t="s">
        <v>394</v>
      </c>
      <c r="F149" s="1">
        <v>0.59279999999999999</v>
      </c>
      <c r="G149" s="1">
        <v>1</v>
      </c>
      <c r="H149" s="2">
        <v>1.1020000000000001</v>
      </c>
    </row>
    <row r="150" spans="1:8" s="1" customFormat="1" x14ac:dyDescent="0.35">
      <c r="A150" s="1" t="s">
        <v>395</v>
      </c>
      <c r="B150" s="1" t="s">
        <v>175</v>
      </c>
      <c r="C150" s="1">
        <v>322</v>
      </c>
      <c r="D150" s="1">
        <v>2</v>
      </c>
      <c r="E150" s="1" t="s">
        <v>245</v>
      </c>
      <c r="F150" s="1">
        <v>0.57799999999999996</v>
      </c>
      <c r="G150" s="1">
        <v>0</v>
      </c>
      <c r="H150" s="2">
        <v>0.41799999999999998</v>
      </c>
    </row>
    <row r="151" spans="1:8" s="1" customFormat="1" x14ac:dyDescent="0.35">
      <c r="A151" s="1" t="s">
        <v>396</v>
      </c>
      <c r="B151" s="1" t="s">
        <v>175</v>
      </c>
      <c r="C151" s="3">
        <v>107909</v>
      </c>
      <c r="D151" s="1">
        <v>1</v>
      </c>
      <c r="E151" s="1" t="s">
        <v>245</v>
      </c>
      <c r="F151" s="1">
        <v>0.2888</v>
      </c>
      <c r="G151" s="1">
        <v>0</v>
      </c>
      <c r="H151" s="2">
        <v>0.20899999999999999</v>
      </c>
    </row>
    <row r="152" spans="1:8" s="1" customFormat="1" x14ac:dyDescent="0.35">
      <c r="A152" s="1" t="s">
        <v>397</v>
      </c>
      <c r="B152" s="1" t="s">
        <v>175</v>
      </c>
      <c r="C152" s="1">
        <v>184</v>
      </c>
      <c r="D152" s="1">
        <v>1</v>
      </c>
      <c r="E152" s="1" t="s">
        <v>245</v>
      </c>
      <c r="F152" s="1">
        <v>0.43480000000000002</v>
      </c>
      <c r="G152" s="1">
        <v>0</v>
      </c>
      <c r="H152" s="2">
        <v>0.314</v>
      </c>
    </row>
    <row r="153" spans="1:8" s="1" customFormat="1" x14ac:dyDescent="0.35">
      <c r="A153" s="1" t="s">
        <v>398</v>
      </c>
      <c r="B153" s="1" t="s">
        <v>175</v>
      </c>
      <c r="C153" s="1">
        <v>718</v>
      </c>
      <c r="D153" s="1">
        <v>2</v>
      </c>
      <c r="E153" s="1" t="s">
        <v>245</v>
      </c>
      <c r="F153" s="1">
        <v>0.32440000000000002</v>
      </c>
      <c r="G153" s="1">
        <v>0</v>
      </c>
      <c r="H153" s="2">
        <v>0.23400000000000001</v>
      </c>
    </row>
    <row r="154" spans="1:8" s="1" customFormat="1" x14ac:dyDescent="0.35">
      <c r="A154" s="1" t="s">
        <v>399</v>
      </c>
      <c r="B154" s="1" t="s">
        <v>175</v>
      </c>
      <c r="C154" s="3">
        <v>1125</v>
      </c>
      <c r="D154" s="1">
        <v>1</v>
      </c>
      <c r="E154" s="1" t="s">
        <v>245</v>
      </c>
      <c r="F154" s="1">
        <v>0.33040000000000003</v>
      </c>
      <c r="G154" s="1">
        <v>0</v>
      </c>
      <c r="H154" s="2">
        <v>0.23899999999999999</v>
      </c>
    </row>
    <row r="155" spans="1:8" s="1" customFormat="1" x14ac:dyDescent="0.35">
      <c r="A155" s="1" t="s">
        <v>400</v>
      </c>
      <c r="B155" s="1" t="s">
        <v>175</v>
      </c>
      <c r="C155" s="1">
        <v>411</v>
      </c>
      <c r="D155" s="1">
        <v>1</v>
      </c>
      <c r="E155" s="1" t="s">
        <v>245</v>
      </c>
      <c r="F155" s="1">
        <v>0.36709999999999998</v>
      </c>
      <c r="G155" s="1">
        <v>0</v>
      </c>
      <c r="H155" s="2">
        <v>0.26500000000000001</v>
      </c>
    </row>
    <row r="156" spans="1:8" s="1" customFormat="1" x14ac:dyDescent="0.35">
      <c r="A156" s="1" t="s">
        <v>401</v>
      </c>
      <c r="B156" s="1" t="s">
        <v>175</v>
      </c>
      <c r="C156" s="1">
        <v>371</v>
      </c>
      <c r="D156" s="1">
        <v>1</v>
      </c>
      <c r="E156" s="1" t="s">
        <v>245</v>
      </c>
      <c r="F156" s="1">
        <v>0.35809999999999997</v>
      </c>
      <c r="G156" s="1">
        <v>0</v>
      </c>
      <c r="H156" s="2">
        <v>0.25900000000000001</v>
      </c>
    </row>
    <row r="157" spans="1:8" s="1" customFormat="1" x14ac:dyDescent="0.35">
      <c r="A157" s="1" t="s">
        <v>402</v>
      </c>
      <c r="B157" s="1" t="s">
        <v>175</v>
      </c>
      <c r="C157" s="1">
        <v>124</v>
      </c>
      <c r="D157" s="1">
        <v>1</v>
      </c>
      <c r="E157" s="1" t="s">
        <v>245</v>
      </c>
      <c r="F157" s="1">
        <v>0.40389999999999998</v>
      </c>
      <c r="G157" s="1">
        <v>0</v>
      </c>
      <c r="H157" s="2">
        <v>0.29199999999999998</v>
      </c>
    </row>
    <row r="158" spans="1:8" s="1" customFormat="1" x14ac:dyDescent="0.35">
      <c r="A158" s="1" t="s">
        <v>403</v>
      </c>
      <c r="B158" s="1" t="s">
        <v>175</v>
      </c>
      <c r="C158" s="1">
        <v>667</v>
      </c>
      <c r="D158" s="1">
        <v>2</v>
      </c>
      <c r="E158" s="1" t="s">
        <v>245</v>
      </c>
      <c r="F158" s="1">
        <v>0.72130000000000005</v>
      </c>
      <c r="G158" s="1">
        <v>0</v>
      </c>
      <c r="H158" s="2">
        <v>0.52100000000000002</v>
      </c>
    </row>
    <row r="159" spans="1:8" s="1" customFormat="1" x14ac:dyDescent="0.35">
      <c r="A159" s="1" t="s">
        <v>404</v>
      </c>
      <c r="B159" s="1" t="s">
        <v>175</v>
      </c>
      <c r="C159" s="1">
        <v>886</v>
      </c>
      <c r="D159" s="1">
        <v>1</v>
      </c>
      <c r="E159" s="1" t="s">
        <v>276</v>
      </c>
      <c r="F159" s="1">
        <v>0.8296</v>
      </c>
      <c r="G159" s="1">
        <v>1</v>
      </c>
      <c r="H159" s="2">
        <v>1.2729999999999999</v>
      </c>
    </row>
    <row r="160" spans="1:8" s="1" customFormat="1" x14ac:dyDescent="0.35">
      <c r="A160" s="1" t="s">
        <v>405</v>
      </c>
      <c r="B160" s="1" t="s">
        <v>175</v>
      </c>
      <c r="C160" s="1">
        <v>974</v>
      </c>
      <c r="D160" s="1">
        <v>1</v>
      </c>
      <c r="E160" s="1" t="s">
        <v>245</v>
      </c>
      <c r="F160" s="1">
        <v>0.57040000000000002</v>
      </c>
      <c r="G160" s="1">
        <v>0</v>
      </c>
      <c r="H160" s="2">
        <v>0.41199999999999998</v>
      </c>
    </row>
    <row r="161" spans="1:8" s="1" customFormat="1" x14ac:dyDescent="0.35">
      <c r="A161" s="1" t="s">
        <v>406</v>
      </c>
      <c r="B161" s="1" t="s">
        <v>175</v>
      </c>
      <c r="C161" s="1">
        <v>440</v>
      </c>
      <c r="D161" s="1">
        <v>1</v>
      </c>
      <c r="E161" s="1" t="s">
        <v>276</v>
      </c>
      <c r="F161" s="1">
        <v>0.84019999999999995</v>
      </c>
      <c r="G161" s="1">
        <v>1</v>
      </c>
      <c r="H161" s="2">
        <v>1.2809999999999999</v>
      </c>
    </row>
    <row r="162" spans="1:8" s="1" customFormat="1" x14ac:dyDescent="0.35">
      <c r="A162" s="1" t="s">
        <v>407</v>
      </c>
      <c r="B162" s="1" t="s">
        <v>175</v>
      </c>
      <c r="C162" s="1">
        <v>355</v>
      </c>
      <c r="D162" s="1">
        <v>1</v>
      </c>
      <c r="E162" s="1" t="s">
        <v>276</v>
      </c>
      <c r="F162" s="1">
        <v>0.82040000000000002</v>
      </c>
      <c r="G162" s="1">
        <v>1</v>
      </c>
      <c r="H162" s="2">
        <v>1.266</v>
      </c>
    </row>
    <row r="163" spans="1:8" s="1" customFormat="1" x14ac:dyDescent="0.35">
      <c r="A163" s="1" t="s">
        <v>408</v>
      </c>
      <c r="B163" s="1" t="s">
        <v>175</v>
      </c>
      <c r="C163" s="3">
        <v>2329</v>
      </c>
      <c r="D163" s="1">
        <v>1</v>
      </c>
      <c r="E163" s="1" t="s">
        <v>276</v>
      </c>
      <c r="F163" s="1">
        <v>0.83209999999999995</v>
      </c>
      <c r="G163" s="1">
        <v>1</v>
      </c>
      <c r="H163" s="2">
        <v>1.2749999999999999</v>
      </c>
    </row>
    <row r="164" spans="1:8" s="1" customFormat="1" x14ac:dyDescent="0.35">
      <c r="A164" s="1" t="s">
        <v>409</v>
      </c>
      <c r="B164" s="1" t="s">
        <v>175</v>
      </c>
      <c r="C164" s="3">
        <v>1024</v>
      </c>
      <c r="D164" s="1">
        <v>1</v>
      </c>
      <c r="E164" s="1" t="s">
        <v>276</v>
      </c>
      <c r="F164" s="1">
        <v>0.82040000000000002</v>
      </c>
      <c r="G164" s="1">
        <v>1</v>
      </c>
      <c r="H164" s="2">
        <v>1.266</v>
      </c>
    </row>
    <row r="165" spans="1:8" s="1" customFormat="1" x14ac:dyDescent="0.35">
      <c r="A165" s="1" t="s">
        <v>410</v>
      </c>
      <c r="B165" s="1" t="s">
        <v>175</v>
      </c>
      <c r="C165" s="1">
        <v>849</v>
      </c>
      <c r="D165" s="1">
        <v>1</v>
      </c>
      <c r="E165" s="1" t="s">
        <v>276</v>
      </c>
      <c r="F165" s="1">
        <v>0.83350000000000002</v>
      </c>
      <c r="G165" s="1">
        <v>1</v>
      </c>
      <c r="H165" s="2">
        <v>1.276</v>
      </c>
    </row>
    <row r="166" spans="1:8" s="1" customFormat="1" x14ac:dyDescent="0.35">
      <c r="A166" s="1" t="s">
        <v>411</v>
      </c>
      <c r="B166" s="1" t="s">
        <v>175</v>
      </c>
      <c r="C166" s="3">
        <v>2017</v>
      </c>
      <c r="D166" s="1">
        <v>1</v>
      </c>
      <c r="E166" s="1" t="s">
        <v>276</v>
      </c>
      <c r="F166" s="1">
        <v>0.83209999999999995</v>
      </c>
      <c r="G166" s="1">
        <v>1</v>
      </c>
      <c r="H166" s="2">
        <v>1.2749999999999999</v>
      </c>
    </row>
    <row r="167" spans="1:8" s="1" customFormat="1" x14ac:dyDescent="0.35">
      <c r="A167" s="1" t="s">
        <v>412</v>
      </c>
      <c r="B167" s="1" t="s">
        <v>175</v>
      </c>
      <c r="C167" s="1">
        <v>511</v>
      </c>
      <c r="D167" s="1">
        <v>1</v>
      </c>
      <c r="E167" s="1" t="s">
        <v>276</v>
      </c>
      <c r="F167" s="1">
        <v>0.83350000000000002</v>
      </c>
      <c r="G167" s="1">
        <v>1</v>
      </c>
      <c r="H167" s="2">
        <v>1.276</v>
      </c>
    </row>
    <row r="168" spans="1:8" s="1" customFormat="1" x14ac:dyDescent="0.35">
      <c r="A168" s="1" t="s">
        <v>413</v>
      </c>
      <c r="B168" s="1" t="s">
        <v>175</v>
      </c>
      <c r="C168" s="1">
        <v>281</v>
      </c>
      <c r="D168" s="1">
        <v>1</v>
      </c>
      <c r="E168" s="1" t="s">
        <v>276</v>
      </c>
      <c r="F168" s="1">
        <v>0.82299999999999995</v>
      </c>
      <c r="G168" s="1">
        <v>1</v>
      </c>
      <c r="H168" s="2">
        <v>1.268</v>
      </c>
    </row>
    <row r="169" spans="1:8" s="1" customFormat="1" x14ac:dyDescent="0.35">
      <c r="A169" s="1" t="s">
        <v>414</v>
      </c>
      <c r="B169" s="1" t="s">
        <v>175</v>
      </c>
      <c r="C169" s="1">
        <v>514</v>
      </c>
      <c r="D169" s="1">
        <v>1</v>
      </c>
      <c r="E169" s="1" t="s">
        <v>276</v>
      </c>
      <c r="F169" s="1">
        <v>0.8296</v>
      </c>
      <c r="G169" s="1">
        <v>1</v>
      </c>
      <c r="H169" s="2">
        <v>1.2729999999999999</v>
      </c>
    </row>
    <row r="170" spans="1:8" s="1" customFormat="1" x14ac:dyDescent="0.35">
      <c r="A170" s="1" t="s">
        <v>415</v>
      </c>
      <c r="B170" s="1" t="s">
        <v>175</v>
      </c>
      <c r="C170" s="1">
        <v>361</v>
      </c>
      <c r="D170" s="1">
        <v>1</v>
      </c>
      <c r="E170" s="1" t="s">
        <v>276</v>
      </c>
      <c r="F170" s="1">
        <v>0.85980000000000001</v>
      </c>
      <c r="G170" s="1">
        <v>1</v>
      </c>
      <c r="H170" s="2">
        <v>1.2949999999999999</v>
      </c>
    </row>
    <row r="171" spans="1:8" s="1" customFormat="1" x14ac:dyDescent="0.35">
      <c r="A171" s="1" t="s">
        <v>416</v>
      </c>
      <c r="B171" s="1" t="s">
        <v>175</v>
      </c>
      <c r="C171" s="1">
        <v>565</v>
      </c>
      <c r="D171" s="1">
        <v>1</v>
      </c>
      <c r="E171" s="1" t="s">
        <v>276</v>
      </c>
      <c r="F171" s="1">
        <v>0.8135</v>
      </c>
      <c r="G171" s="1">
        <v>1</v>
      </c>
      <c r="H171" s="2">
        <v>1.2609999999999999</v>
      </c>
    </row>
    <row r="172" spans="1:8" s="1" customFormat="1" x14ac:dyDescent="0.35">
      <c r="A172" s="1" t="s">
        <v>417</v>
      </c>
      <c r="B172" s="1" t="s">
        <v>175</v>
      </c>
      <c r="C172" s="1">
        <v>593</v>
      </c>
      <c r="D172" s="1">
        <v>1</v>
      </c>
      <c r="E172" s="1" t="s">
        <v>276</v>
      </c>
      <c r="F172" s="1">
        <v>0.83479999999999999</v>
      </c>
      <c r="G172" s="1">
        <v>1</v>
      </c>
      <c r="H172" s="2">
        <v>1.2769999999999999</v>
      </c>
    </row>
    <row r="173" spans="1:8" s="1" customFormat="1" x14ac:dyDescent="0.35">
      <c r="A173" s="1" t="s">
        <v>418</v>
      </c>
      <c r="B173" s="1" t="s">
        <v>175</v>
      </c>
      <c r="C173" s="1">
        <v>344</v>
      </c>
      <c r="D173" s="1">
        <v>1</v>
      </c>
      <c r="E173" s="1" t="s">
        <v>245</v>
      </c>
      <c r="F173" s="1">
        <v>0.38779999999999998</v>
      </c>
      <c r="G173" s="1">
        <v>0</v>
      </c>
      <c r="H173" s="2">
        <v>0.28000000000000003</v>
      </c>
    </row>
    <row r="174" spans="1:8" s="1" customFormat="1" x14ac:dyDescent="0.35">
      <c r="A174" s="1" t="s">
        <v>419</v>
      </c>
      <c r="B174" s="1" t="s">
        <v>175</v>
      </c>
      <c r="C174" s="1">
        <v>61</v>
      </c>
      <c r="D174" s="1">
        <v>1</v>
      </c>
      <c r="E174" s="1" t="s">
        <v>245</v>
      </c>
      <c r="F174" s="1">
        <v>0.44829999999999998</v>
      </c>
      <c r="G174" s="1">
        <v>0</v>
      </c>
      <c r="H174" s="2">
        <v>0.32400000000000001</v>
      </c>
    </row>
    <row r="175" spans="1:8" s="1" customFormat="1" x14ac:dyDescent="0.35">
      <c r="A175" s="1" t="s">
        <v>420</v>
      </c>
      <c r="B175" s="1" t="s">
        <v>175</v>
      </c>
      <c r="C175" s="3">
        <v>1593</v>
      </c>
      <c r="D175" s="1">
        <v>1</v>
      </c>
      <c r="E175" s="1" t="s">
        <v>245</v>
      </c>
      <c r="F175" s="1">
        <v>0.29339999999999999</v>
      </c>
      <c r="G175" s="1">
        <v>0</v>
      </c>
      <c r="H175" s="2">
        <v>0.21199999999999999</v>
      </c>
    </row>
    <row r="176" spans="1:8" s="1" customFormat="1" x14ac:dyDescent="0.35">
      <c r="A176" s="1" t="s">
        <v>421</v>
      </c>
      <c r="B176" s="1" t="s">
        <v>175</v>
      </c>
      <c r="C176" s="1">
        <v>0</v>
      </c>
      <c r="D176" s="1">
        <v>1</v>
      </c>
      <c r="E176" s="1" t="s">
        <v>245</v>
      </c>
      <c r="F176" s="1">
        <v>0.57479999999999998</v>
      </c>
      <c r="G176" s="1">
        <v>0</v>
      </c>
      <c r="H176" s="2">
        <v>0.41499999999999998</v>
      </c>
    </row>
    <row r="177" spans="1:8" s="1" customFormat="1" x14ac:dyDescent="0.35">
      <c r="A177" s="1" t="s">
        <v>422</v>
      </c>
      <c r="B177" s="1" t="s">
        <v>175</v>
      </c>
      <c r="C177" s="1">
        <v>153</v>
      </c>
      <c r="D177" s="1">
        <v>1</v>
      </c>
      <c r="E177" s="1" t="s">
        <v>276</v>
      </c>
      <c r="F177" s="1">
        <v>0.43490000000000001</v>
      </c>
      <c r="G177" s="1">
        <v>1</v>
      </c>
      <c r="H177" s="2">
        <v>0.98799999999999999</v>
      </c>
    </row>
    <row r="178" spans="1:8" s="1" customFormat="1" x14ac:dyDescent="0.35">
      <c r="A178" s="1" t="s">
        <v>423</v>
      </c>
      <c r="B178" s="1" t="s">
        <v>175</v>
      </c>
      <c r="C178" s="3">
        <v>5739</v>
      </c>
      <c r="D178" s="1">
        <v>1</v>
      </c>
      <c r="E178" s="1" t="s">
        <v>245</v>
      </c>
      <c r="F178" s="1">
        <v>0.31219999999999998</v>
      </c>
      <c r="G178" s="1">
        <v>0</v>
      </c>
      <c r="H178" s="2">
        <v>0.22600000000000001</v>
      </c>
    </row>
    <row r="179" spans="1:8" s="1" customFormat="1" x14ac:dyDescent="0.35">
      <c r="A179" s="1" t="s">
        <v>424</v>
      </c>
      <c r="B179" s="1" t="s">
        <v>175</v>
      </c>
      <c r="C179" s="1">
        <v>386</v>
      </c>
      <c r="D179" s="1">
        <v>1</v>
      </c>
      <c r="E179" s="1" t="s">
        <v>245</v>
      </c>
      <c r="F179" s="1">
        <v>0.29649999999999999</v>
      </c>
      <c r="G179" s="1">
        <v>0</v>
      </c>
      <c r="H179" s="2">
        <v>0.214</v>
      </c>
    </row>
    <row r="180" spans="1:8" s="1" customFormat="1" x14ac:dyDescent="0.35">
      <c r="A180" s="1" t="s">
        <v>425</v>
      </c>
      <c r="B180" s="1" t="s">
        <v>175</v>
      </c>
      <c r="C180" s="1">
        <v>77</v>
      </c>
      <c r="D180" s="1">
        <v>1</v>
      </c>
      <c r="E180" s="1" t="s">
        <v>245</v>
      </c>
      <c r="F180" s="1">
        <v>0.59609999999999996</v>
      </c>
      <c r="G180" s="1">
        <v>0</v>
      </c>
      <c r="H180" s="2">
        <v>0.43099999999999999</v>
      </c>
    </row>
    <row r="181" spans="1:8" s="1" customFormat="1" x14ac:dyDescent="0.35">
      <c r="A181" s="1" t="s">
        <v>426</v>
      </c>
      <c r="B181" s="1" t="s">
        <v>175</v>
      </c>
      <c r="C181" s="1">
        <v>190</v>
      </c>
      <c r="D181" s="1">
        <v>1</v>
      </c>
      <c r="E181" s="1" t="s">
        <v>245</v>
      </c>
      <c r="F181" s="1">
        <v>0.46889999999999998</v>
      </c>
      <c r="G181" s="1">
        <v>0</v>
      </c>
      <c r="H181" s="2">
        <v>0.33900000000000002</v>
      </c>
    </row>
    <row r="182" spans="1:8" s="1" customFormat="1" x14ac:dyDescent="0.35">
      <c r="A182" s="1" t="s">
        <v>427</v>
      </c>
      <c r="B182" s="1" t="s">
        <v>175</v>
      </c>
      <c r="C182" s="1">
        <v>0</v>
      </c>
      <c r="D182" s="1">
        <v>1</v>
      </c>
      <c r="E182" s="1" t="s">
        <v>394</v>
      </c>
      <c r="F182" s="1">
        <v>0.50839999999999996</v>
      </c>
      <c r="G182" s="1">
        <v>1</v>
      </c>
      <c r="H182" s="2">
        <v>1.0409999999999999</v>
      </c>
    </row>
    <row r="183" spans="1:8" s="1" customFormat="1" x14ac:dyDescent="0.35">
      <c r="A183" s="1" t="s">
        <v>428</v>
      </c>
      <c r="B183" s="1" t="s">
        <v>175</v>
      </c>
      <c r="C183" s="1">
        <v>85</v>
      </c>
      <c r="D183" s="1">
        <v>1</v>
      </c>
      <c r="E183" s="1" t="s">
        <v>245</v>
      </c>
      <c r="F183" s="1">
        <v>0.57479999999999998</v>
      </c>
      <c r="G183" s="1">
        <v>0</v>
      </c>
      <c r="H183" s="2">
        <v>0.41499999999999998</v>
      </c>
    </row>
    <row r="184" spans="1:8" s="1" customFormat="1" x14ac:dyDescent="0.35">
      <c r="A184" s="1" t="s">
        <v>429</v>
      </c>
      <c r="B184" s="1" t="s">
        <v>175</v>
      </c>
      <c r="C184" s="1">
        <v>21</v>
      </c>
      <c r="D184" s="1">
        <v>1</v>
      </c>
      <c r="E184" s="1" t="s">
        <v>245</v>
      </c>
      <c r="F184" s="1">
        <v>0.57420000000000004</v>
      </c>
      <c r="G184" s="1">
        <v>0</v>
      </c>
      <c r="H184" s="2">
        <v>0.41499999999999998</v>
      </c>
    </row>
    <row r="185" spans="1:8" s="1" customFormat="1" x14ac:dyDescent="0.35">
      <c r="A185" s="1" t="s">
        <v>430</v>
      </c>
      <c r="B185" s="1" t="s">
        <v>175</v>
      </c>
      <c r="C185" s="1">
        <v>456</v>
      </c>
      <c r="D185" s="1">
        <v>1</v>
      </c>
      <c r="E185" s="1" t="s">
        <v>245</v>
      </c>
      <c r="F185" s="1">
        <v>0.37069999999999997</v>
      </c>
      <c r="G185" s="1">
        <v>0</v>
      </c>
      <c r="H185" s="2">
        <v>0.26800000000000002</v>
      </c>
    </row>
    <row r="186" spans="1:8" s="1" customFormat="1" x14ac:dyDescent="0.35">
      <c r="A186" s="1" t="s">
        <v>431</v>
      </c>
      <c r="B186" s="1" t="s">
        <v>175</v>
      </c>
      <c r="C186" s="1">
        <v>122</v>
      </c>
      <c r="D186" s="1">
        <v>2</v>
      </c>
      <c r="E186" s="1" t="s">
        <v>245</v>
      </c>
      <c r="F186" s="1">
        <v>0.314</v>
      </c>
      <c r="G186" s="1">
        <v>0</v>
      </c>
      <c r="H186" s="2">
        <v>0.22700000000000001</v>
      </c>
    </row>
    <row r="187" spans="1:8" s="1" customFormat="1" x14ac:dyDescent="0.35">
      <c r="A187" s="1" t="s">
        <v>432</v>
      </c>
      <c r="B187" s="1" t="s">
        <v>175</v>
      </c>
      <c r="C187" s="1">
        <v>116</v>
      </c>
      <c r="D187" s="1">
        <v>1</v>
      </c>
      <c r="E187" s="1" t="s">
        <v>245</v>
      </c>
      <c r="F187" s="1">
        <v>0.35170000000000001</v>
      </c>
      <c r="G187" s="1">
        <v>0</v>
      </c>
      <c r="H187" s="2">
        <v>0.254</v>
      </c>
    </row>
    <row r="188" spans="1:8" s="1" customFormat="1" x14ac:dyDescent="0.35">
      <c r="A188" s="1" t="s">
        <v>433</v>
      </c>
      <c r="B188" s="1" t="s">
        <v>175</v>
      </c>
      <c r="C188" s="1">
        <v>144</v>
      </c>
      <c r="D188" s="1">
        <v>1</v>
      </c>
      <c r="E188" s="1" t="s">
        <v>245</v>
      </c>
      <c r="F188" s="1">
        <v>0.43609999999999999</v>
      </c>
      <c r="G188" s="1">
        <v>0</v>
      </c>
      <c r="H188" s="2">
        <v>0.315</v>
      </c>
    </row>
    <row r="189" spans="1:8" s="1" customFormat="1" x14ac:dyDescent="0.35">
      <c r="A189" s="1" t="s">
        <v>434</v>
      </c>
      <c r="B189" s="1" t="s">
        <v>175</v>
      </c>
      <c r="C189" s="1">
        <v>22</v>
      </c>
      <c r="D189" s="1">
        <v>1</v>
      </c>
      <c r="E189" s="1" t="s">
        <v>276</v>
      </c>
      <c r="F189" s="1">
        <v>0.85850000000000004</v>
      </c>
      <c r="G189" s="1">
        <v>1</v>
      </c>
      <c r="H189" s="2">
        <v>1.294</v>
      </c>
    </row>
    <row r="190" spans="1:8" s="1" customFormat="1" x14ac:dyDescent="0.35">
      <c r="A190" s="1" t="s">
        <v>435</v>
      </c>
      <c r="B190" s="1" t="s">
        <v>175</v>
      </c>
      <c r="C190" s="1">
        <v>140</v>
      </c>
      <c r="D190" s="1">
        <v>1</v>
      </c>
      <c r="E190" s="1" t="s">
        <v>245</v>
      </c>
      <c r="F190" s="1">
        <v>0.42970000000000003</v>
      </c>
      <c r="G190" s="1">
        <v>0</v>
      </c>
      <c r="H190" s="2">
        <v>0.311</v>
      </c>
    </row>
    <row r="191" spans="1:8" s="1" customFormat="1" x14ac:dyDescent="0.35">
      <c r="A191" s="1" t="s">
        <v>436</v>
      </c>
      <c r="B191" s="1" t="s">
        <v>175</v>
      </c>
      <c r="C191" s="1">
        <v>473</v>
      </c>
      <c r="D191" s="1">
        <v>1</v>
      </c>
      <c r="E191" s="1" t="s">
        <v>276</v>
      </c>
      <c r="F191" s="1">
        <v>0.82669999999999999</v>
      </c>
      <c r="G191" s="1">
        <v>1</v>
      </c>
      <c r="H191" s="2">
        <v>1.2709999999999999</v>
      </c>
    </row>
    <row r="192" spans="1:8" s="1" customFormat="1" x14ac:dyDescent="0.35">
      <c r="A192" s="1" t="s">
        <v>437</v>
      </c>
      <c r="B192" s="1" t="s">
        <v>175</v>
      </c>
      <c r="C192" s="1">
        <v>867</v>
      </c>
      <c r="D192" s="1">
        <v>1</v>
      </c>
      <c r="E192" s="1" t="s">
        <v>276</v>
      </c>
      <c r="F192" s="1">
        <v>0.82669999999999999</v>
      </c>
      <c r="G192" s="1">
        <v>1</v>
      </c>
      <c r="H192" s="2">
        <v>1.2709999999999999</v>
      </c>
    </row>
    <row r="193" spans="1:8" s="1" customFormat="1" x14ac:dyDescent="0.35">
      <c r="A193" s="1" t="s">
        <v>438</v>
      </c>
      <c r="B193" s="1" t="s">
        <v>175</v>
      </c>
      <c r="C193" s="1">
        <v>293</v>
      </c>
      <c r="D193" s="1">
        <v>1</v>
      </c>
      <c r="E193" s="1" t="s">
        <v>276</v>
      </c>
      <c r="F193" s="1">
        <v>0.82669999999999999</v>
      </c>
      <c r="G193" s="1">
        <v>1</v>
      </c>
      <c r="H193" s="2">
        <v>1.2709999999999999</v>
      </c>
    </row>
    <row r="194" spans="1:8" s="1" customFormat="1" x14ac:dyDescent="0.35">
      <c r="A194" s="1" t="s">
        <v>439</v>
      </c>
      <c r="B194" s="1" t="s">
        <v>175</v>
      </c>
      <c r="C194" s="1">
        <v>237</v>
      </c>
      <c r="D194" s="1">
        <v>2</v>
      </c>
      <c r="E194" s="1" t="s">
        <v>276</v>
      </c>
      <c r="F194" s="1">
        <v>0.83479999999999999</v>
      </c>
      <c r="G194" s="1">
        <v>1</v>
      </c>
      <c r="H194" s="2">
        <v>1.2769999999999999</v>
      </c>
    </row>
    <row r="195" spans="1:8" s="1" customFormat="1" x14ac:dyDescent="0.35">
      <c r="A195" s="1" t="s">
        <v>440</v>
      </c>
      <c r="B195" s="1" t="s">
        <v>175</v>
      </c>
      <c r="C195" s="1">
        <v>778</v>
      </c>
      <c r="D195" s="1">
        <v>1</v>
      </c>
      <c r="E195" s="1" t="s">
        <v>276</v>
      </c>
      <c r="F195" s="1">
        <v>0.84240000000000004</v>
      </c>
      <c r="G195" s="1">
        <v>1</v>
      </c>
      <c r="H195" s="2">
        <v>1.282</v>
      </c>
    </row>
    <row r="196" spans="1:8" s="1" customFormat="1" x14ac:dyDescent="0.35">
      <c r="A196" s="1" t="s">
        <v>441</v>
      </c>
      <c r="B196" s="1" t="s">
        <v>175</v>
      </c>
      <c r="C196" s="1">
        <v>382</v>
      </c>
      <c r="D196" s="1">
        <v>1</v>
      </c>
      <c r="E196" s="1" t="s">
        <v>276</v>
      </c>
      <c r="F196" s="1">
        <v>0.83020000000000005</v>
      </c>
      <c r="G196" s="1">
        <v>1</v>
      </c>
      <c r="H196" s="2">
        <v>1.274</v>
      </c>
    </row>
    <row r="197" spans="1:8" s="1" customFormat="1" x14ac:dyDescent="0.35">
      <c r="A197" s="1" t="s">
        <v>442</v>
      </c>
      <c r="B197" s="1" t="s">
        <v>175</v>
      </c>
      <c r="C197" s="1">
        <v>366</v>
      </c>
      <c r="D197" s="1">
        <v>1</v>
      </c>
      <c r="E197" s="1" t="s">
        <v>245</v>
      </c>
      <c r="F197" s="1">
        <v>0.65400000000000003</v>
      </c>
      <c r="G197" s="1">
        <v>0</v>
      </c>
      <c r="H197" s="2">
        <v>0.47299999999999998</v>
      </c>
    </row>
    <row r="198" spans="1:8" s="1" customFormat="1" x14ac:dyDescent="0.35">
      <c r="A198" s="1" t="s">
        <v>443</v>
      </c>
      <c r="B198" s="1" t="s">
        <v>175</v>
      </c>
      <c r="C198" s="1">
        <v>759</v>
      </c>
      <c r="D198" s="1">
        <v>1</v>
      </c>
      <c r="E198" s="1" t="s">
        <v>276</v>
      </c>
      <c r="F198" s="1">
        <v>0.85170000000000001</v>
      </c>
      <c r="G198" s="1">
        <v>1</v>
      </c>
      <c r="H198" s="2">
        <v>1.2889999999999999</v>
      </c>
    </row>
    <row r="199" spans="1:8" s="1" customFormat="1" x14ac:dyDescent="0.35">
      <c r="A199" s="1" t="s">
        <v>444</v>
      </c>
      <c r="B199" s="1" t="s">
        <v>175</v>
      </c>
      <c r="C199" s="1">
        <v>90</v>
      </c>
      <c r="D199" s="1">
        <v>1</v>
      </c>
      <c r="E199" s="1" t="s">
        <v>245</v>
      </c>
      <c r="F199" s="1">
        <v>0.66800000000000004</v>
      </c>
      <c r="G199" s="1">
        <v>0</v>
      </c>
      <c r="H199" s="2">
        <v>0.48299999999999998</v>
      </c>
    </row>
    <row r="200" spans="1:8" s="1" customFormat="1" x14ac:dyDescent="0.35">
      <c r="A200" s="1" t="s">
        <v>445</v>
      </c>
      <c r="B200" s="1" t="s">
        <v>175</v>
      </c>
      <c r="C200" s="1">
        <v>187</v>
      </c>
      <c r="D200" s="1">
        <v>1</v>
      </c>
      <c r="E200" s="1" t="s">
        <v>245</v>
      </c>
      <c r="F200" s="1">
        <v>0.71719999999999995</v>
      </c>
      <c r="G200" s="1">
        <v>0</v>
      </c>
      <c r="H200" s="2">
        <v>0.51800000000000002</v>
      </c>
    </row>
    <row r="201" spans="1:8" s="1" customFormat="1" x14ac:dyDescent="0.35">
      <c r="A201" s="1" t="s">
        <v>446</v>
      </c>
      <c r="B201" s="1" t="s">
        <v>173</v>
      </c>
      <c r="C201" s="1">
        <v>698</v>
      </c>
      <c r="D201" s="1">
        <v>1</v>
      </c>
      <c r="E201" s="1" t="s">
        <v>245</v>
      </c>
      <c r="F201" s="1">
        <v>0.30109999999999998</v>
      </c>
      <c r="G201" s="1">
        <v>0</v>
      </c>
      <c r="H201" s="2">
        <v>0.218</v>
      </c>
    </row>
    <row r="202" spans="1:8" s="1" customFormat="1" x14ac:dyDescent="0.35">
      <c r="A202" s="1" t="s">
        <v>447</v>
      </c>
      <c r="B202" s="1" t="s">
        <v>173</v>
      </c>
      <c r="C202" s="1">
        <v>516</v>
      </c>
      <c r="D202" s="1">
        <v>1</v>
      </c>
      <c r="E202" s="1" t="s">
        <v>245</v>
      </c>
      <c r="F202" s="1">
        <v>0.25</v>
      </c>
      <c r="G202" s="1">
        <v>0</v>
      </c>
      <c r="H202" s="2">
        <v>0.18099999999999999</v>
      </c>
    </row>
    <row r="203" spans="1:8" s="1" customFormat="1" x14ac:dyDescent="0.35">
      <c r="A203" s="1" t="s">
        <v>448</v>
      </c>
      <c r="B203" s="1" t="s">
        <v>173</v>
      </c>
      <c r="C203" s="3">
        <v>1929</v>
      </c>
      <c r="D203" s="1">
        <v>1</v>
      </c>
      <c r="E203" s="1" t="s">
        <v>245</v>
      </c>
      <c r="F203" s="1">
        <v>0.28100000000000003</v>
      </c>
      <c r="G203" s="1">
        <v>0</v>
      </c>
      <c r="H203" s="2">
        <v>0.20300000000000001</v>
      </c>
    </row>
    <row r="204" spans="1:8" s="1" customFormat="1" x14ac:dyDescent="0.35">
      <c r="A204" s="1" t="s">
        <v>449</v>
      </c>
      <c r="B204" s="1" t="s">
        <v>173</v>
      </c>
      <c r="C204" s="1">
        <v>582</v>
      </c>
      <c r="D204" s="1">
        <v>1</v>
      </c>
      <c r="E204" s="1" t="s">
        <v>245</v>
      </c>
      <c r="F204" s="1">
        <v>0.65169999999999995</v>
      </c>
      <c r="G204" s="1">
        <v>0</v>
      </c>
      <c r="H204" s="2">
        <v>0.47099999999999997</v>
      </c>
    </row>
    <row r="205" spans="1:8" s="1" customFormat="1" x14ac:dyDescent="0.35">
      <c r="A205" s="1" t="s">
        <v>450</v>
      </c>
      <c r="B205" s="1" t="s">
        <v>173</v>
      </c>
      <c r="C205" s="3">
        <v>1531</v>
      </c>
      <c r="D205" s="1">
        <v>2</v>
      </c>
      <c r="E205" s="1" t="s">
        <v>245</v>
      </c>
      <c r="F205" s="1">
        <v>0.6089</v>
      </c>
      <c r="G205" s="1">
        <v>0</v>
      </c>
      <c r="H205" s="2">
        <v>0.44</v>
      </c>
    </row>
    <row r="206" spans="1:8" s="1" customFormat="1" x14ac:dyDescent="0.35">
      <c r="A206" s="1" t="s">
        <v>451</v>
      </c>
      <c r="B206" s="1" t="s">
        <v>173</v>
      </c>
      <c r="C206" s="1">
        <v>481</v>
      </c>
      <c r="D206" s="1">
        <v>1</v>
      </c>
      <c r="E206" s="1" t="s">
        <v>245</v>
      </c>
      <c r="F206" s="1">
        <v>0.50719999999999998</v>
      </c>
      <c r="G206" s="1">
        <v>0</v>
      </c>
      <c r="H206" s="2">
        <v>0.36699999999999999</v>
      </c>
    </row>
    <row r="207" spans="1:8" s="1" customFormat="1" x14ac:dyDescent="0.35">
      <c r="A207" s="1" t="s">
        <v>452</v>
      </c>
      <c r="B207" s="1" t="s">
        <v>173</v>
      </c>
      <c r="C207" s="3">
        <v>1128</v>
      </c>
      <c r="D207" s="1">
        <v>1</v>
      </c>
      <c r="E207" s="1" t="s">
        <v>245</v>
      </c>
      <c r="F207" s="1">
        <v>0.40910000000000002</v>
      </c>
      <c r="G207" s="1">
        <v>0</v>
      </c>
      <c r="H207" s="2">
        <v>0.29599999999999999</v>
      </c>
    </row>
    <row r="208" spans="1:8" s="1" customFormat="1" x14ac:dyDescent="0.35">
      <c r="A208" s="1" t="s">
        <v>453</v>
      </c>
      <c r="B208" s="1" t="s">
        <v>173</v>
      </c>
      <c r="C208" s="1">
        <v>687</v>
      </c>
      <c r="D208" s="1">
        <v>1</v>
      </c>
      <c r="E208" s="1" t="s">
        <v>245</v>
      </c>
      <c r="F208" s="1">
        <v>0.73129999999999995</v>
      </c>
      <c r="G208" s="1">
        <v>0</v>
      </c>
      <c r="H208" s="2">
        <v>0.52800000000000002</v>
      </c>
    </row>
    <row r="209" spans="1:8" s="1" customFormat="1" x14ac:dyDescent="0.35">
      <c r="A209" s="1" t="s">
        <v>454</v>
      </c>
      <c r="B209" s="1" t="s">
        <v>173</v>
      </c>
      <c r="C209" s="1">
        <v>207</v>
      </c>
      <c r="D209" s="1">
        <v>1</v>
      </c>
      <c r="E209" s="1" t="s">
        <v>245</v>
      </c>
      <c r="F209" s="1">
        <v>0.77480000000000004</v>
      </c>
      <c r="G209" s="1">
        <v>0</v>
      </c>
      <c r="H209" s="2">
        <v>0.56000000000000005</v>
      </c>
    </row>
    <row r="210" spans="1:8" s="1" customFormat="1" x14ac:dyDescent="0.35">
      <c r="A210" s="1" t="s">
        <v>455</v>
      </c>
      <c r="B210" s="1" t="s">
        <v>173</v>
      </c>
      <c r="C210" s="3">
        <v>2704</v>
      </c>
      <c r="D210" s="1">
        <v>1</v>
      </c>
      <c r="E210" s="1" t="s">
        <v>245</v>
      </c>
      <c r="F210" s="1">
        <v>0.56310000000000004</v>
      </c>
      <c r="G210" s="1">
        <v>0</v>
      </c>
      <c r="H210" s="2">
        <v>0.40699999999999997</v>
      </c>
    </row>
    <row r="211" spans="1:8" s="1" customFormat="1" x14ac:dyDescent="0.35">
      <c r="A211" s="1" t="s">
        <v>456</v>
      </c>
      <c r="B211" s="1" t="s">
        <v>173</v>
      </c>
      <c r="C211" s="1">
        <v>810</v>
      </c>
      <c r="D211" s="1">
        <v>1</v>
      </c>
      <c r="E211" s="1" t="s">
        <v>276</v>
      </c>
      <c r="F211" s="1">
        <v>0.40860000000000002</v>
      </c>
      <c r="G211" s="1">
        <v>1</v>
      </c>
      <c r="H211" s="2">
        <v>0.96899999999999997</v>
      </c>
    </row>
    <row r="212" spans="1:8" s="1" customFormat="1" x14ac:dyDescent="0.35">
      <c r="A212" s="1" t="s">
        <v>457</v>
      </c>
      <c r="B212" s="1" t="s">
        <v>173</v>
      </c>
      <c r="C212" s="1">
        <v>874</v>
      </c>
      <c r="D212" s="1">
        <v>1</v>
      </c>
      <c r="E212" s="1" t="s">
        <v>245</v>
      </c>
      <c r="F212" s="1">
        <v>0.30280000000000001</v>
      </c>
      <c r="G212" s="1">
        <v>0</v>
      </c>
      <c r="H212" s="2">
        <v>0.219</v>
      </c>
    </row>
    <row r="213" spans="1:8" s="1" customFormat="1" x14ac:dyDescent="0.35">
      <c r="A213" s="1" t="s">
        <v>458</v>
      </c>
      <c r="B213" s="1" t="s">
        <v>173</v>
      </c>
      <c r="C213" s="3">
        <v>1169</v>
      </c>
      <c r="D213" s="1">
        <v>2</v>
      </c>
      <c r="E213" s="1" t="s">
        <v>245</v>
      </c>
      <c r="F213" s="1">
        <v>0.58809999999999996</v>
      </c>
      <c r="G213" s="1">
        <v>0</v>
      </c>
      <c r="H213" s="2">
        <v>0.42499999999999999</v>
      </c>
    </row>
    <row r="214" spans="1:8" s="1" customFormat="1" x14ac:dyDescent="0.35">
      <c r="A214" s="1" t="s">
        <v>459</v>
      </c>
      <c r="B214" s="1" t="s">
        <v>173</v>
      </c>
      <c r="C214" s="1">
        <v>672</v>
      </c>
      <c r="D214" s="1">
        <v>2</v>
      </c>
      <c r="E214" s="1" t="s">
        <v>245</v>
      </c>
      <c r="F214" s="1">
        <v>0.2555</v>
      </c>
      <c r="G214" s="1">
        <v>0</v>
      </c>
      <c r="H214" s="2">
        <v>0.185</v>
      </c>
    </row>
    <row r="215" spans="1:8" s="1" customFormat="1" x14ac:dyDescent="0.35">
      <c r="A215" s="1" t="s">
        <v>460</v>
      </c>
      <c r="B215" s="1" t="s">
        <v>173</v>
      </c>
      <c r="C215" s="1">
        <v>288</v>
      </c>
      <c r="D215" s="1">
        <v>1</v>
      </c>
      <c r="E215" s="1" t="s">
        <v>245</v>
      </c>
      <c r="F215" s="1">
        <v>0.69679999999999997</v>
      </c>
      <c r="G215" s="1">
        <v>0</v>
      </c>
      <c r="H215" s="2">
        <v>0.504</v>
      </c>
    </row>
    <row r="216" spans="1:8" s="1" customFormat="1" x14ac:dyDescent="0.35">
      <c r="A216" s="1" t="s">
        <v>461</v>
      </c>
      <c r="B216" s="1" t="s">
        <v>173</v>
      </c>
      <c r="C216" s="1">
        <v>5</v>
      </c>
      <c r="D216" s="1">
        <v>1</v>
      </c>
      <c r="E216" s="1" t="s">
        <v>245</v>
      </c>
      <c r="F216" s="1">
        <v>0.74209999999999998</v>
      </c>
      <c r="G216" s="1">
        <v>0</v>
      </c>
      <c r="H216" s="2">
        <v>0.53600000000000003</v>
      </c>
    </row>
    <row r="217" spans="1:8" s="1" customFormat="1" x14ac:dyDescent="0.35">
      <c r="A217" s="1" t="s">
        <v>462</v>
      </c>
      <c r="B217" s="1" t="s">
        <v>173</v>
      </c>
      <c r="C217" s="3">
        <v>4375</v>
      </c>
      <c r="D217" s="1">
        <v>3</v>
      </c>
      <c r="E217" s="1" t="s">
        <v>245</v>
      </c>
      <c r="F217" s="1">
        <v>0.55359999999999998</v>
      </c>
      <c r="G217" s="1">
        <v>0</v>
      </c>
      <c r="H217" s="2">
        <v>0.4</v>
      </c>
    </row>
    <row r="218" spans="1:8" s="1" customFormat="1" x14ac:dyDescent="0.35">
      <c r="A218" s="1" t="s">
        <v>463</v>
      </c>
      <c r="B218" s="1" t="s">
        <v>173</v>
      </c>
      <c r="C218" s="1">
        <v>866</v>
      </c>
      <c r="D218" s="1">
        <v>1</v>
      </c>
      <c r="E218" s="1" t="s">
        <v>276</v>
      </c>
      <c r="F218" s="1">
        <v>0.89690000000000003</v>
      </c>
      <c r="G218" s="1">
        <v>1</v>
      </c>
      <c r="H218" s="2">
        <v>1.3220000000000001</v>
      </c>
    </row>
    <row r="219" spans="1:8" s="1" customFormat="1" x14ac:dyDescent="0.35">
      <c r="A219" s="1" t="s">
        <v>464</v>
      </c>
      <c r="B219" s="1" t="s">
        <v>173</v>
      </c>
      <c r="C219" s="3">
        <v>4927</v>
      </c>
      <c r="D219" s="1">
        <v>1</v>
      </c>
      <c r="E219" s="1" t="s">
        <v>245</v>
      </c>
      <c r="F219" s="1">
        <v>0.68769999999999998</v>
      </c>
      <c r="G219" s="1">
        <v>0</v>
      </c>
      <c r="H219" s="2">
        <v>0.497</v>
      </c>
    </row>
    <row r="220" spans="1:8" s="1" customFormat="1" x14ac:dyDescent="0.35">
      <c r="A220" s="1" t="s">
        <v>465</v>
      </c>
      <c r="B220" s="1" t="s">
        <v>173</v>
      </c>
      <c r="C220" s="1">
        <v>444</v>
      </c>
      <c r="D220" s="1">
        <v>1</v>
      </c>
      <c r="E220" s="1" t="s">
        <v>245</v>
      </c>
      <c r="F220" s="1">
        <v>0.60399999999999998</v>
      </c>
      <c r="G220" s="1">
        <v>0</v>
      </c>
      <c r="H220" s="2">
        <v>0.436</v>
      </c>
    </row>
    <row r="221" spans="1:8" s="1" customFormat="1" x14ac:dyDescent="0.35">
      <c r="A221" s="1" t="s">
        <v>466</v>
      </c>
      <c r="B221" s="1" t="s">
        <v>173</v>
      </c>
      <c r="C221" s="3">
        <v>1341</v>
      </c>
      <c r="D221" s="1">
        <v>1</v>
      </c>
      <c r="E221" s="1" t="s">
        <v>245</v>
      </c>
      <c r="F221" s="1">
        <v>0.50419999999999998</v>
      </c>
      <c r="G221" s="1">
        <v>0</v>
      </c>
      <c r="H221" s="2">
        <v>0.36399999999999999</v>
      </c>
    </row>
    <row r="222" spans="1:8" s="1" customFormat="1" x14ac:dyDescent="0.35">
      <c r="A222" s="1" t="s">
        <v>467</v>
      </c>
      <c r="B222" s="1" t="s">
        <v>173</v>
      </c>
      <c r="C222" s="1">
        <v>373</v>
      </c>
      <c r="D222" s="1">
        <v>1</v>
      </c>
      <c r="E222" s="1" t="s">
        <v>245</v>
      </c>
      <c r="F222" s="1">
        <v>0.58509999999999995</v>
      </c>
      <c r="G222" s="1">
        <v>0</v>
      </c>
      <c r="H222" s="2">
        <v>0.42299999999999999</v>
      </c>
    </row>
    <row r="223" spans="1:8" s="1" customFormat="1" x14ac:dyDescent="0.35">
      <c r="A223" s="1" t="s">
        <v>468</v>
      </c>
      <c r="B223" s="1" t="s">
        <v>173</v>
      </c>
      <c r="C223" s="1">
        <v>646</v>
      </c>
      <c r="D223" s="1">
        <v>2</v>
      </c>
      <c r="E223" s="1" t="s">
        <v>245</v>
      </c>
      <c r="F223" s="1">
        <v>0.54979999999999996</v>
      </c>
      <c r="G223" s="1">
        <v>0</v>
      </c>
      <c r="H223" s="2">
        <v>0.39700000000000002</v>
      </c>
    </row>
    <row r="224" spans="1:8" s="1" customFormat="1" x14ac:dyDescent="0.35">
      <c r="A224" s="1" t="s">
        <v>469</v>
      </c>
      <c r="B224" s="1" t="s">
        <v>173</v>
      </c>
      <c r="C224" s="3">
        <v>2515</v>
      </c>
      <c r="D224" s="1">
        <v>1</v>
      </c>
      <c r="E224" s="1" t="s">
        <v>245</v>
      </c>
      <c r="F224" s="1">
        <v>0.29909999999999998</v>
      </c>
      <c r="G224" s="1">
        <v>0</v>
      </c>
      <c r="H224" s="2">
        <v>0.216</v>
      </c>
    </row>
    <row r="225" spans="1:8" s="1" customFormat="1" x14ac:dyDescent="0.35">
      <c r="A225" s="1" t="s">
        <v>470</v>
      </c>
      <c r="B225" s="1" t="s">
        <v>173</v>
      </c>
      <c r="C225" s="1">
        <v>411</v>
      </c>
      <c r="D225" s="1">
        <v>1</v>
      </c>
      <c r="E225" s="1" t="s">
        <v>245</v>
      </c>
      <c r="F225" s="1">
        <v>0.42799999999999999</v>
      </c>
      <c r="G225" s="1">
        <v>0</v>
      </c>
      <c r="H225" s="2">
        <v>0.309</v>
      </c>
    </row>
    <row r="226" spans="1:8" s="1" customFormat="1" x14ac:dyDescent="0.35">
      <c r="A226" s="1" t="s">
        <v>471</v>
      </c>
      <c r="B226" s="1" t="s">
        <v>173</v>
      </c>
      <c r="C226" s="3">
        <v>1380</v>
      </c>
      <c r="D226" s="1">
        <v>2</v>
      </c>
      <c r="E226" s="1" t="s">
        <v>245</v>
      </c>
      <c r="F226" s="1">
        <v>0.41320000000000001</v>
      </c>
      <c r="G226" s="1">
        <v>0</v>
      </c>
      <c r="H226" s="2">
        <v>0.29899999999999999</v>
      </c>
    </row>
    <row r="227" spans="1:8" s="1" customFormat="1" x14ac:dyDescent="0.35">
      <c r="A227" s="1" t="s">
        <v>472</v>
      </c>
      <c r="B227" s="1" t="s">
        <v>173</v>
      </c>
      <c r="C227" s="1">
        <v>386</v>
      </c>
      <c r="D227" s="1">
        <v>1</v>
      </c>
      <c r="E227" s="1" t="s">
        <v>245</v>
      </c>
      <c r="F227" s="1">
        <v>0.40629999999999999</v>
      </c>
      <c r="G227" s="1">
        <v>0</v>
      </c>
      <c r="H227" s="2">
        <v>0.29399999999999998</v>
      </c>
    </row>
    <row r="228" spans="1:8" s="1" customFormat="1" x14ac:dyDescent="0.35">
      <c r="A228" s="1" t="s">
        <v>473</v>
      </c>
      <c r="B228" s="1" t="s">
        <v>173</v>
      </c>
      <c r="C228" s="3">
        <v>1232</v>
      </c>
      <c r="D228" s="1">
        <v>1</v>
      </c>
      <c r="E228" s="1" t="s">
        <v>245</v>
      </c>
      <c r="F228" s="1">
        <v>0.24959999999999999</v>
      </c>
      <c r="G228" s="1">
        <v>0</v>
      </c>
      <c r="H228" s="2">
        <v>0.18</v>
      </c>
    </row>
    <row r="229" spans="1:8" s="1" customFormat="1" x14ac:dyDescent="0.35">
      <c r="A229" s="1" t="s">
        <v>474</v>
      </c>
      <c r="B229" s="1" t="s">
        <v>173</v>
      </c>
      <c r="C229" s="1">
        <v>76</v>
      </c>
      <c r="D229" s="1">
        <v>1</v>
      </c>
      <c r="E229" s="1" t="s">
        <v>245</v>
      </c>
      <c r="F229" s="1">
        <v>0.26889999999999997</v>
      </c>
      <c r="G229" s="1">
        <v>0</v>
      </c>
      <c r="H229" s="2">
        <v>0.19400000000000001</v>
      </c>
    </row>
    <row r="230" spans="1:8" s="1" customFormat="1" x14ac:dyDescent="0.35">
      <c r="A230" s="1" t="s">
        <v>475</v>
      </c>
      <c r="B230" s="1" t="s">
        <v>173</v>
      </c>
      <c r="C230" s="1">
        <v>305</v>
      </c>
      <c r="D230" s="1">
        <v>1</v>
      </c>
      <c r="E230" s="1" t="s">
        <v>245</v>
      </c>
      <c r="F230" s="1">
        <v>0.4178</v>
      </c>
      <c r="G230" s="1">
        <v>0</v>
      </c>
      <c r="H230" s="2">
        <v>0.30199999999999999</v>
      </c>
    </row>
    <row r="231" spans="1:8" s="1" customFormat="1" x14ac:dyDescent="0.35">
      <c r="A231" s="1" t="s">
        <v>476</v>
      </c>
      <c r="B231" s="1" t="s">
        <v>173</v>
      </c>
      <c r="C231" s="3">
        <v>1028</v>
      </c>
      <c r="D231" s="1">
        <v>1</v>
      </c>
      <c r="E231" s="1" t="s">
        <v>245</v>
      </c>
      <c r="F231" s="1">
        <v>0.37809999999999999</v>
      </c>
      <c r="G231" s="1">
        <v>0</v>
      </c>
      <c r="H231" s="2">
        <v>0.27300000000000002</v>
      </c>
    </row>
    <row r="232" spans="1:8" s="1" customFormat="1" x14ac:dyDescent="0.35">
      <c r="A232" s="1" t="s">
        <v>477</v>
      </c>
      <c r="B232" s="1" t="s">
        <v>173</v>
      </c>
      <c r="C232" s="1">
        <v>407</v>
      </c>
      <c r="D232" s="1">
        <v>3</v>
      </c>
      <c r="E232" s="1" t="s">
        <v>245</v>
      </c>
      <c r="F232" s="1">
        <v>0.39660000000000001</v>
      </c>
      <c r="G232" s="1">
        <v>0</v>
      </c>
      <c r="H232" s="2">
        <v>0.28699999999999998</v>
      </c>
    </row>
    <row r="233" spans="1:8" s="1" customFormat="1" x14ac:dyDescent="0.35">
      <c r="A233" s="1" t="s">
        <v>478</v>
      </c>
      <c r="B233" s="1" t="s">
        <v>173</v>
      </c>
      <c r="C233" s="1">
        <v>368</v>
      </c>
      <c r="D233" s="1">
        <v>2</v>
      </c>
      <c r="E233" s="1" t="s">
        <v>245</v>
      </c>
      <c r="F233" s="1">
        <v>0.4642</v>
      </c>
      <c r="G233" s="1">
        <v>0</v>
      </c>
      <c r="H233" s="2">
        <v>0.33500000000000002</v>
      </c>
    </row>
    <row r="234" spans="1:8" s="1" customFormat="1" x14ac:dyDescent="0.35">
      <c r="A234" s="1" t="s">
        <v>479</v>
      </c>
      <c r="B234" s="1" t="s">
        <v>173</v>
      </c>
      <c r="C234" s="1">
        <v>347</v>
      </c>
      <c r="D234" s="1">
        <v>1</v>
      </c>
      <c r="E234" s="1" t="s">
        <v>245</v>
      </c>
      <c r="F234" s="1">
        <v>0.27829999999999999</v>
      </c>
      <c r="G234" s="1">
        <v>0</v>
      </c>
      <c r="H234" s="2">
        <v>0.20100000000000001</v>
      </c>
    </row>
    <row r="235" spans="1:8" s="1" customFormat="1" x14ac:dyDescent="0.35">
      <c r="A235" s="1" t="s">
        <v>480</v>
      </c>
      <c r="B235" s="1" t="s">
        <v>173</v>
      </c>
      <c r="C235" s="1">
        <v>98</v>
      </c>
      <c r="D235" s="1">
        <v>3</v>
      </c>
      <c r="E235" s="1" t="s">
        <v>245</v>
      </c>
      <c r="F235" s="1">
        <v>0.40050000000000002</v>
      </c>
      <c r="G235" s="1">
        <v>0</v>
      </c>
      <c r="H235" s="2">
        <v>0.28899999999999998</v>
      </c>
    </row>
    <row r="236" spans="1:8" s="1" customFormat="1" x14ac:dyDescent="0.35">
      <c r="A236" s="1" t="s">
        <v>481</v>
      </c>
      <c r="B236" s="1" t="s">
        <v>173</v>
      </c>
      <c r="C236" s="1">
        <v>156</v>
      </c>
      <c r="D236" s="1">
        <v>1</v>
      </c>
      <c r="E236" s="1" t="s">
        <v>245</v>
      </c>
      <c r="F236" s="1">
        <v>0.23580000000000001</v>
      </c>
      <c r="G236" s="1">
        <v>0</v>
      </c>
      <c r="H236" s="2">
        <v>0.17</v>
      </c>
    </row>
    <row r="237" spans="1:8" s="1" customFormat="1" x14ac:dyDescent="0.35">
      <c r="A237" s="1" t="s">
        <v>482</v>
      </c>
      <c r="B237" s="1" t="s">
        <v>173</v>
      </c>
      <c r="C237" s="1">
        <v>982</v>
      </c>
      <c r="D237" s="1">
        <v>1</v>
      </c>
      <c r="E237" s="1" t="s">
        <v>276</v>
      </c>
      <c r="F237" s="1">
        <v>0.71860000000000002</v>
      </c>
      <c r="G237" s="1">
        <v>1</v>
      </c>
      <c r="H237" s="2">
        <v>1.1930000000000001</v>
      </c>
    </row>
    <row r="238" spans="1:8" s="1" customFormat="1" x14ac:dyDescent="0.35">
      <c r="A238" s="1" t="s">
        <v>483</v>
      </c>
      <c r="B238" s="1" t="s">
        <v>173</v>
      </c>
      <c r="C238" s="3">
        <v>2591</v>
      </c>
      <c r="D238" s="1">
        <v>1</v>
      </c>
      <c r="E238" s="1" t="s">
        <v>276</v>
      </c>
      <c r="F238" s="1">
        <v>0.59940000000000004</v>
      </c>
      <c r="G238" s="1">
        <v>1</v>
      </c>
      <c r="H238" s="2">
        <v>1.107</v>
      </c>
    </row>
    <row r="239" spans="1:8" s="1" customFormat="1" x14ac:dyDescent="0.35">
      <c r="A239" s="1" t="s">
        <v>484</v>
      </c>
      <c r="B239" s="1" t="s">
        <v>173</v>
      </c>
      <c r="C239" s="3">
        <v>3262</v>
      </c>
      <c r="D239" s="1">
        <v>1</v>
      </c>
      <c r="E239" s="1" t="s">
        <v>276</v>
      </c>
      <c r="F239" s="1">
        <v>0.59940000000000004</v>
      </c>
      <c r="G239" s="1">
        <v>1</v>
      </c>
      <c r="H239" s="2">
        <v>1.107</v>
      </c>
    </row>
    <row r="240" spans="1:8" s="1" customFormat="1" x14ac:dyDescent="0.35">
      <c r="A240" s="1" t="s">
        <v>485</v>
      </c>
      <c r="B240" s="1" t="s">
        <v>173</v>
      </c>
      <c r="C240" s="3">
        <v>1403</v>
      </c>
      <c r="D240" s="1">
        <v>1</v>
      </c>
      <c r="E240" s="1" t="s">
        <v>276</v>
      </c>
      <c r="F240" s="1">
        <v>0.59940000000000004</v>
      </c>
      <c r="G240" s="1">
        <v>1</v>
      </c>
      <c r="H240" s="2">
        <v>1.107</v>
      </c>
    </row>
    <row r="241" spans="1:8" s="1" customFormat="1" x14ac:dyDescent="0.35">
      <c r="A241" s="1" t="s">
        <v>486</v>
      </c>
      <c r="B241" s="1" t="s">
        <v>173</v>
      </c>
      <c r="C241" s="1">
        <v>675</v>
      </c>
      <c r="D241" s="1">
        <v>1</v>
      </c>
      <c r="E241" s="1" t="s">
        <v>276</v>
      </c>
      <c r="F241" s="1">
        <v>0.46510000000000001</v>
      </c>
      <c r="G241" s="1">
        <v>1</v>
      </c>
      <c r="H241" s="2">
        <v>1.01</v>
      </c>
    </row>
    <row r="242" spans="1:8" s="1" customFormat="1" x14ac:dyDescent="0.35">
      <c r="A242" s="1" t="s">
        <v>487</v>
      </c>
      <c r="B242" s="1" t="s">
        <v>173</v>
      </c>
      <c r="C242" s="3">
        <v>1950</v>
      </c>
      <c r="D242" s="1">
        <v>1</v>
      </c>
      <c r="E242" s="1" t="s">
        <v>276</v>
      </c>
      <c r="F242" s="1">
        <v>0.70120000000000005</v>
      </c>
      <c r="G242" s="1">
        <v>1</v>
      </c>
      <c r="H242" s="2">
        <v>1.18</v>
      </c>
    </row>
    <row r="243" spans="1:8" s="1" customFormat="1" x14ac:dyDescent="0.35">
      <c r="A243" s="1" t="s">
        <v>488</v>
      </c>
      <c r="B243" s="1" t="s">
        <v>173</v>
      </c>
      <c r="C243" s="1">
        <v>643</v>
      </c>
      <c r="D243" s="1">
        <v>1</v>
      </c>
      <c r="E243" s="1" t="s">
        <v>276</v>
      </c>
      <c r="F243" s="1">
        <v>0.71860000000000002</v>
      </c>
      <c r="G243" s="1">
        <v>1</v>
      </c>
      <c r="H243" s="2">
        <v>1.1930000000000001</v>
      </c>
    </row>
    <row r="244" spans="1:8" s="1" customFormat="1" x14ac:dyDescent="0.35">
      <c r="A244" s="1" t="s">
        <v>489</v>
      </c>
      <c r="B244" s="1" t="s">
        <v>173</v>
      </c>
      <c r="C244" s="1">
        <v>324</v>
      </c>
      <c r="D244" s="1">
        <v>1</v>
      </c>
      <c r="E244" s="1" t="s">
        <v>276</v>
      </c>
      <c r="F244" s="1">
        <v>0.9173</v>
      </c>
      <c r="G244" s="1">
        <v>1</v>
      </c>
      <c r="H244" s="2">
        <v>1.3360000000000001</v>
      </c>
    </row>
    <row r="245" spans="1:8" s="1" customFormat="1" x14ac:dyDescent="0.35">
      <c r="A245" s="1" t="s">
        <v>490</v>
      </c>
      <c r="B245" s="1" t="s">
        <v>173</v>
      </c>
      <c r="C245" s="1">
        <v>443</v>
      </c>
      <c r="D245" s="1">
        <v>1</v>
      </c>
      <c r="E245" s="1" t="s">
        <v>245</v>
      </c>
      <c r="F245" s="1">
        <v>0.60440000000000005</v>
      </c>
      <c r="G245" s="1">
        <v>0</v>
      </c>
      <c r="H245" s="2">
        <v>0.437</v>
      </c>
    </row>
    <row r="246" spans="1:8" s="1" customFormat="1" x14ac:dyDescent="0.35">
      <c r="A246" s="1" t="s">
        <v>491</v>
      </c>
      <c r="B246" s="1" t="s">
        <v>173</v>
      </c>
      <c r="C246" s="1">
        <v>156</v>
      </c>
      <c r="D246" s="1">
        <v>2</v>
      </c>
      <c r="E246" s="1" t="s">
        <v>245</v>
      </c>
      <c r="F246" s="1">
        <v>0.71909999999999996</v>
      </c>
      <c r="G246" s="1">
        <v>0</v>
      </c>
      <c r="H246" s="2">
        <v>0.52</v>
      </c>
    </row>
    <row r="247" spans="1:8" s="1" customFormat="1" x14ac:dyDescent="0.35">
      <c r="A247" s="1" t="s">
        <v>492</v>
      </c>
      <c r="B247" s="1" t="s">
        <v>173</v>
      </c>
      <c r="C247" s="3">
        <v>2044</v>
      </c>
      <c r="D247" s="1">
        <v>2</v>
      </c>
      <c r="E247" s="1" t="s">
        <v>245</v>
      </c>
      <c r="F247" s="1">
        <v>0.56999999999999995</v>
      </c>
      <c r="G247" s="1">
        <v>0</v>
      </c>
      <c r="H247" s="2">
        <v>0.41199999999999998</v>
      </c>
    </row>
    <row r="248" spans="1:8" s="1" customFormat="1" x14ac:dyDescent="0.35">
      <c r="A248" s="1" t="s">
        <v>493</v>
      </c>
      <c r="B248" s="1" t="s">
        <v>173</v>
      </c>
      <c r="C248" s="3">
        <v>1019</v>
      </c>
      <c r="D248" s="1">
        <v>1</v>
      </c>
      <c r="E248" s="1" t="s">
        <v>276</v>
      </c>
      <c r="F248" s="1">
        <v>0.73619999999999997</v>
      </c>
      <c r="G248" s="1">
        <v>1</v>
      </c>
      <c r="H248" s="2">
        <v>1.206</v>
      </c>
    </row>
    <row r="249" spans="1:8" s="1" customFormat="1" x14ac:dyDescent="0.35">
      <c r="A249" s="1" t="s">
        <v>494</v>
      </c>
      <c r="B249" s="1" t="s">
        <v>173</v>
      </c>
      <c r="C249" s="1">
        <v>383</v>
      </c>
      <c r="D249" s="1">
        <v>1</v>
      </c>
      <c r="E249" s="1" t="s">
        <v>276</v>
      </c>
      <c r="F249" s="1">
        <v>0.73009999999999997</v>
      </c>
      <c r="G249" s="1">
        <v>1</v>
      </c>
      <c r="H249" s="2">
        <v>1.2010000000000001</v>
      </c>
    </row>
    <row r="250" spans="1:8" s="1" customFormat="1" x14ac:dyDescent="0.35">
      <c r="A250" s="1" t="s">
        <v>495</v>
      </c>
      <c r="B250" s="1" t="s">
        <v>173</v>
      </c>
      <c r="C250" s="3">
        <v>1267</v>
      </c>
      <c r="D250" s="1">
        <v>2</v>
      </c>
      <c r="E250" s="1" t="s">
        <v>245</v>
      </c>
      <c r="F250" s="1">
        <v>0.65129999999999999</v>
      </c>
      <c r="G250" s="1">
        <v>0</v>
      </c>
      <c r="H250" s="2">
        <v>0.47099999999999997</v>
      </c>
    </row>
    <row r="251" spans="1:8" s="1" customFormat="1" x14ac:dyDescent="0.35">
      <c r="A251" s="1" t="s">
        <v>496</v>
      </c>
      <c r="B251" s="1" t="s">
        <v>173</v>
      </c>
      <c r="C251" s="1">
        <v>868</v>
      </c>
      <c r="D251" s="1">
        <v>1</v>
      </c>
      <c r="E251" s="1" t="s">
        <v>245</v>
      </c>
      <c r="F251" s="1">
        <v>0.66469999999999996</v>
      </c>
      <c r="G251" s="1">
        <v>0</v>
      </c>
      <c r="H251" s="2">
        <v>0.48</v>
      </c>
    </row>
    <row r="252" spans="1:8" s="1" customFormat="1" x14ac:dyDescent="0.35">
      <c r="A252" s="1" t="s">
        <v>497</v>
      </c>
      <c r="B252" s="1" t="s">
        <v>173</v>
      </c>
      <c r="C252" s="3">
        <v>1734</v>
      </c>
      <c r="D252" s="1">
        <v>2</v>
      </c>
      <c r="E252" s="1" t="s">
        <v>276</v>
      </c>
      <c r="F252" s="1">
        <v>0.72609999999999997</v>
      </c>
      <c r="G252" s="1">
        <v>1</v>
      </c>
      <c r="H252" s="2">
        <v>1.198</v>
      </c>
    </row>
    <row r="253" spans="1:8" s="1" customFormat="1" x14ac:dyDescent="0.35">
      <c r="A253" s="1" t="s">
        <v>498</v>
      </c>
      <c r="B253" s="1" t="s">
        <v>173</v>
      </c>
      <c r="C253" s="3">
        <v>1124</v>
      </c>
      <c r="D253" s="1">
        <v>1</v>
      </c>
      <c r="E253" s="1" t="s">
        <v>245</v>
      </c>
      <c r="F253" s="1">
        <v>0.58799999999999997</v>
      </c>
      <c r="G253" s="1">
        <v>0</v>
      </c>
      <c r="H253" s="2">
        <v>0.42499999999999999</v>
      </c>
    </row>
    <row r="254" spans="1:8" s="1" customFormat="1" x14ac:dyDescent="0.35">
      <c r="A254" s="1" t="s">
        <v>499</v>
      </c>
      <c r="B254" s="1" t="s">
        <v>173</v>
      </c>
      <c r="C254" s="3">
        <v>2547</v>
      </c>
      <c r="D254" s="1">
        <v>1</v>
      </c>
      <c r="E254" s="1" t="s">
        <v>245</v>
      </c>
      <c r="F254" s="1">
        <v>0.54930000000000001</v>
      </c>
      <c r="G254" s="1">
        <v>0</v>
      </c>
      <c r="H254" s="2">
        <v>0.39700000000000002</v>
      </c>
    </row>
    <row r="255" spans="1:8" s="1" customFormat="1" x14ac:dyDescent="0.35">
      <c r="A255" s="1" t="s">
        <v>500</v>
      </c>
      <c r="B255" s="1" t="s">
        <v>173</v>
      </c>
      <c r="C255" s="1">
        <v>825</v>
      </c>
      <c r="D255" s="1">
        <v>2</v>
      </c>
      <c r="E255" s="1" t="s">
        <v>245</v>
      </c>
      <c r="F255" s="1">
        <v>0.63729999999999998</v>
      </c>
      <c r="G255" s="1">
        <v>0</v>
      </c>
      <c r="H255" s="2">
        <v>0.46100000000000002</v>
      </c>
    </row>
    <row r="256" spans="1:8" s="1" customFormat="1" x14ac:dyDescent="0.35">
      <c r="A256" s="1" t="s">
        <v>501</v>
      </c>
      <c r="B256" s="1" t="s">
        <v>173</v>
      </c>
      <c r="C256" s="3">
        <v>3034</v>
      </c>
      <c r="D256" s="1">
        <v>6</v>
      </c>
      <c r="E256" s="1" t="s">
        <v>245</v>
      </c>
      <c r="F256" s="1">
        <v>0.47839999999999999</v>
      </c>
      <c r="G256" s="1">
        <v>0</v>
      </c>
      <c r="H256" s="2">
        <v>0.34599999999999997</v>
      </c>
    </row>
    <row r="257" spans="1:8" s="1" customFormat="1" x14ac:dyDescent="0.35">
      <c r="A257" s="1" t="s">
        <v>502</v>
      </c>
      <c r="B257" s="1" t="s">
        <v>173</v>
      </c>
      <c r="C257" s="1">
        <v>0</v>
      </c>
      <c r="D257" s="1">
        <v>1</v>
      </c>
      <c r="E257" s="1" t="s">
        <v>245</v>
      </c>
      <c r="F257" s="1">
        <v>0.77</v>
      </c>
      <c r="G257" s="1">
        <v>0</v>
      </c>
      <c r="H257" s="2">
        <v>0.55600000000000005</v>
      </c>
    </row>
    <row r="258" spans="1:8" s="1" customFormat="1" x14ac:dyDescent="0.35">
      <c r="A258" s="1" t="s">
        <v>503</v>
      </c>
      <c r="B258" s="1" t="s">
        <v>173</v>
      </c>
      <c r="C258" s="1">
        <v>728</v>
      </c>
      <c r="D258" s="1">
        <v>1</v>
      </c>
      <c r="E258" s="1" t="s">
        <v>276</v>
      </c>
      <c r="F258" s="1">
        <v>0.73619999999999997</v>
      </c>
      <c r="G258" s="1">
        <v>1</v>
      </c>
      <c r="H258" s="2">
        <v>1.206</v>
      </c>
    </row>
    <row r="259" spans="1:8" s="1" customFormat="1" x14ac:dyDescent="0.35">
      <c r="A259" s="1" t="s">
        <v>504</v>
      </c>
      <c r="B259" s="1" t="s">
        <v>173</v>
      </c>
      <c r="C259" s="1">
        <v>981</v>
      </c>
      <c r="D259" s="1">
        <v>1</v>
      </c>
      <c r="E259" s="1" t="s">
        <v>245</v>
      </c>
      <c r="F259" s="1">
        <v>0.60770000000000002</v>
      </c>
      <c r="G259" s="1">
        <v>0</v>
      </c>
      <c r="H259" s="2">
        <v>0.439</v>
      </c>
    </row>
    <row r="260" spans="1:8" s="1" customFormat="1" x14ac:dyDescent="0.35">
      <c r="A260" s="1" t="s">
        <v>505</v>
      </c>
      <c r="B260" s="1" t="s">
        <v>173</v>
      </c>
      <c r="C260" s="1">
        <v>106</v>
      </c>
      <c r="D260" s="1">
        <v>2</v>
      </c>
      <c r="E260" s="1" t="s">
        <v>245</v>
      </c>
      <c r="F260" s="1">
        <v>0.62239999999999995</v>
      </c>
      <c r="G260" s="1">
        <v>0</v>
      </c>
      <c r="H260" s="2">
        <v>0.45</v>
      </c>
    </row>
    <row r="261" spans="1:8" s="1" customFormat="1" x14ac:dyDescent="0.35">
      <c r="A261" s="1" t="s">
        <v>506</v>
      </c>
      <c r="B261" s="1" t="s">
        <v>173</v>
      </c>
      <c r="C261" s="1">
        <v>38</v>
      </c>
      <c r="D261" s="1">
        <v>2</v>
      </c>
      <c r="E261" s="1" t="s">
        <v>245</v>
      </c>
      <c r="F261" s="1">
        <v>0.47510000000000002</v>
      </c>
      <c r="G261" s="1">
        <v>0</v>
      </c>
      <c r="H261" s="2">
        <v>0.34300000000000003</v>
      </c>
    </row>
    <row r="262" spans="1:8" s="1" customFormat="1" x14ac:dyDescent="0.35">
      <c r="A262" s="1" t="s">
        <v>507</v>
      </c>
      <c r="B262" s="1" t="s">
        <v>175</v>
      </c>
      <c r="C262" s="1">
        <v>421</v>
      </c>
      <c r="D262" s="1">
        <v>1</v>
      </c>
      <c r="E262" s="1" t="s">
        <v>276</v>
      </c>
      <c r="F262" s="1">
        <v>0.83819999999999995</v>
      </c>
      <c r="G262" s="1">
        <v>1</v>
      </c>
      <c r="H262" s="2">
        <v>1.2789999999999999</v>
      </c>
    </row>
    <row r="263" spans="1:8" s="1" customFormat="1" x14ac:dyDescent="0.35">
      <c r="A263" s="1" t="s">
        <v>508</v>
      </c>
      <c r="B263" s="1" t="s">
        <v>175</v>
      </c>
      <c r="C263" s="1">
        <v>0</v>
      </c>
      <c r="D263" s="1">
        <v>1</v>
      </c>
      <c r="E263" s="1" t="s">
        <v>245</v>
      </c>
      <c r="F263" s="1">
        <v>0.85709999999999997</v>
      </c>
      <c r="G263" s="1">
        <v>0</v>
      </c>
      <c r="H263" s="2">
        <v>0.61899999999999999</v>
      </c>
    </row>
    <row r="264" spans="1:8" s="1" customFormat="1" x14ac:dyDescent="0.35">
      <c r="A264" s="1" t="s">
        <v>509</v>
      </c>
      <c r="B264" s="1" t="s">
        <v>173</v>
      </c>
      <c r="C264" s="1">
        <v>271</v>
      </c>
      <c r="D264" s="1">
        <v>1</v>
      </c>
      <c r="E264" s="1" t="s">
        <v>276</v>
      </c>
      <c r="F264" s="1">
        <v>0.4592</v>
      </c>
      <c r="G264" s="1">
        <v>1</v>
      </c>
      <c r="H264" s="2">
        <v>1.0049999999999999</v>
      </c>
    </row>
    <row r="265" spans="1:8" s="1" customFormat="1" x14ac:dyDescent="0.35">
      <c r="A265" s="1" t="s">
        <v>510</v>
      </c>
      <c r="B265" s="1" t="s">
        <v>173</v>
      </c>
      <c r="C265" s="1">
        <v>0</v>
      </c>
      <c r="D265" s="1">
        <v>1</v>
      </c>
      <c r="E265" s="1" t="s">
        <v>245</v>
      </c>
      <c r="F265" s="1">
        <v>0.63890000000000002</v>
      </c>
      <c r="G265" s="1">
        <v>0</v>
      </c>
      <c r="H265" s="2">
        <v>0.46200000000000002</v>
      </c>
    </row>
    <row r="266" spans="1:8" s="1" customFormat="1" x14ac:dyDescent="0.35">
      <c r="A266" s="1" t="s">
        <v>511</v>
      </c>
      <c r="B266" s="1" t="s">
        <v>171</v>
      </c>
      <c r="C266" s="1">
        <v>700</v>
      </c>
      <c r="D266" s="1">
        <v>2</v>
      </c>
      <c r="E266" s="1" t="s">
        <v>245</v>
      </c>
      <c r="F266" s="1">
        <v>0.44230000000000003</v>
      </c>
      <c r="G266" s="1">
        <v>0</v>
      </c>
      <c r="H266" s="2">
        <v>0.32</v>
      </c>
    </row>
    <row r="267" spans="1:8" s="1" customFormat="1" x14ac:dyDescent="0.35">
      <c r="A267" s="1" t="s">
        <v>512</v>
      </c>
      <c r="B267" s="1" t="s">
        <v>171</v>
      </c>
      <c r="C267" s="1">
        <v>0</v>
      </c>
      <c r="D267" s="1">
        <v>1</v>
      </c>
      <c r="E267" s="1" t="s">
        <v>245</v>
      </c>
      <c r="F267" s="1">
        <v>0.3463</v>
      </c>
      <c r="G267" s="1">
        <v>0</v>
      </c>
      <c r="H267" s="2">
        <v>0.25</v>
      </c>
    </row>
    <row r="268" spans="1:8" s="1" customFormat="1" x14ac:dyDescent="0.35">
      <c r="A268" s="1" t="s">
        <v>513</v>
      </c>
      <c r="B268" s="1" t="s">
        <v>171</v>
      </c>
      <c r="C268" s="1">
        <v>724</v>
      </c>
      <c r="D268" s="1">
        <v>1</v>
      </c>
      <c r="E268" s="1" t="s">
        <v>245</v>
      </c>
      <c r="F268" s="1">
        <v>0.33850000000000002</v>
      </c>
      <c r="G268" s="1">
        <v>0</v>
      </c>
      <c r="H268" s="2">
        <v>0.245</v>
      </c>
    </row>
    <row r="269" spans="1:8" s="1" customFormat="1" x14ac:dyDescent="0.35">
      <c r="A269" s="1" t="s">
        <v>514</v>
      </c>
      <c r="B269" s="1" t="s">
        <v>171</v>
      </c>
      <c r="C269" s="1">
        <v>545</v>
      </c>
      <c r="D269" s="1">
        <v>2</v>
      </c>
      <c r="E269" s="1" t="s">
        <v>245</v>
      </c>
      <c r="F269" s="1">
        <v>0.3286</v>
      </c>
      <c r="G269" s="1">
        <v>0</v>
      </c>
      <c r="H269" s="2">
        <v>0.23699999999999999</v>
      </c>
    </row>
    <row r="270" spans="1:8" s="1" customFormat="1" x14ac:dyDescent="0.35">
      <c r="A270" s="1" t="s">
        <v>515</v>
      </c>
      <c r="B270" s="1" t="s">
        <v>171</v>
      </c>
      <c r="C270" s="3">
        <v>3300</v>
      </c>
      <c r="D270" s="1">
        <v>4</v>
      </c>
      <c r="E270" s="1" t="s">
        <v>245</v>
      </c>
      <c r="F270" s="1">
        <v>0.41420000000000001</v>
      </c>
      <c r="G270" s="1">
        <v>0</v>
      </c>
      <c r="H270" s="2">
        <v>0.29899999999999999</v>
      </c>
    </row>
    <row r="271" spans="1:8" s="1" customFormat="1" x14ac:dyDescent="0.35">
      <c r="A271" s="1" t="s">
        <v>516</v>
      </c>
      <c r="B271" s="1" t="s">
        <v>171</v>
      </c>
      <c r="C271" s="1">
        <v>547</v>
      </c>
      <c r="D271" s="1">
        <v>1</v>
      </c>
      <c r="E271" s="1" t="s">
        <v>245</v>
      </c>
      <c r="F271" s="1">
        <v>0.35220000000000001</v>
      </c>
      <c r="G271" s="1">
        <v>0</v>
      </c>
      <c r="H271" s="2">
        <v>0.255</v>
      </c>
    </row>
    <row r="272" spans="1:8" s="1" customFormat="1" x14ac:dyDescent="0.35">
      <c r="A272" s="1" t="s">
        <v>517</v>
      </c>
      <c r="B272" s="1" t="s">
        <v>171</v>
      </c>
      <c r="C272" s="1">
        <v>519</v>
      </c>
      <c r="D272" s="1">
        <v>1</v>
      </c>
      <c r="E272" s="1" t="s">
        <v>245</v>
      </c>
      <c r="F272" s="1">
        <v>0.33710000000000001</v>
      </c>
      <c r="G272" s="1">
        <v>0</v>
      </c>
      <c r="H272" s="2">
        <v>0.24399999999999999</v>
      </c>
    </row>
    <row r="273" spans="1:8" s="1" customFormat="1" x14ac:dyDescent="0.35">
      <c r="A273" s="1" t="s">
        <v>518</v>
      </c>
      <c r="B273" s="1" t="s">
        <v>171</v>
      </c>
      <c r="C273" s="1">
        <v>499</v>
      </c>
      <c r="D273" s="1">
        <v>2</v>
      </c>
      <c r="E273" s="1" t="s">
        <v>245</v>
      </c>
      <c r="F273" s="1">
        <v>0.34029999999999999</v>
      </c>
      <c r="G273" s="1">
        <v>0</v>
      </c>
      <c r="H273" s="2">
        <v>0.246</v>
      </c>
    </row>
    <row r="274" spans="1:8" s="1" customFormat="1" x14ac:dyDescent="0.35">
      <c r="A274" s="1" t="s">
        <v>519</v>
      </c>
      <c r="B274" s="1" t="s">
        <v>171</v>
      </c>
      <c r="C274" s="1">
        <v>643</v>
      </c>
      <c r="D274" s="1">
        <v>3</v>
      </c>
      <c r="E274" s="1" t="s">
        <v>245</v>
      </c>
      <c r="F274" s="1">
        <v>0.32129999999999997</v>
      </c>
      <c r="G274" s="1">
        <v>0</v>
      </c>
      <c r="H274" s="2">
        <v>0.23200000000000001</v>
      </c>
    </row>
    <row r="275" spans="1:8" s="1" customFormat="1" x14ac:dyDescent="0.35">
      <c r="A275" s="1" t="s">
        <v>520</v>
      </c>
      <c r="B275" s="1" t="s">
        <v>171</v>
      </c>
      <c r="C275" s="1">
        <v>740</v>
      </c>
      <c r="D275" s="1">
        <v>2</v>
      </c>
      <c r="E275" s="1" t="s">
        <v>245</v>
      </c>
      <c r="F275" s="1">
        <v>0.4556</v>
      </c>
      <c r="G275" s="1">
        <v>0</v>
      </c>
      <c r="H275" s="2">
        <v>0.32900000000000001</v>
      </c>
    </row>
    <row r="276" spans="1:8" s="1" customFormat="1" x14ac:dyDescent="0.35">
      <c r="A276" s="1" t="s">
        <v>521</v>
      </c>
      <c r="B276" s="1" t="s">
        <v>171</v>
      </c>
      <c r="C276" s="1">
        <v>795</v>
      </c>
      <c r="D276" s="1">
        <v>1</v>
      </c>
      <c r="E276" s="1" t="s">
        <v>245</v>
      </c>
      <c r="F276" s="1">
        <v>0.68679999999999997</v>
      </c>
      <c r="G276" s="1">
        <v>0</v>
      </c>
      <c r="H276" s="2">
        <v>0.496</v>
      </c>
    </row>
    <row r="277" spans="1:8" s="1" customFormat="1" x14ac:dyDescent="0.35">
      <c r="A277" s="1" t="s">
        <v>522</v>
      </c>
      <c r="B277" s="1" t="s">
        <v>171</v>
      </c>
      <c r="C277" s="1">
        <v>903</v>
      </c>
      <c r="D277" s="1">
        <v>1</v>
      </c>
      <c r="E277" s="1" t="s">
        <v>276</v>
      </c>
      <c r="F277" s="1">
        <v>0.71160000000000001</v>
      </c>
      <c r="G277" s="1">
        <v>1</v>
      </c>
      <c r="H277" s="2">
        <v>1.1879999999999999</v>
      </c>
    </row>
    <row r="278" spans="1:8" s="1" customFormat="1" x14ac:dyDescent="0.35">
      <c r="A278" s="1" t="s">
        <v>523</v>
      </c>
      <c r="B278" s="1" t="s">
        <v>171</v>
      </c>
      <c r="C278" s="3">
        <v>1377</v>
      </c>
      <c r="D278" s="1">
        <v>1</v>
      </c>
      <c r="E278" s="1" t="s">
        <v>276</v>
      </c>
      <c r="F278" s="1">
        <v>0.71160000000000001</v>
      </c>
      <c r="G278" s="1">
        <v>1</v>
      </c>
      <c r="H278" s="2">
        <v>1.1879999999999999</v>
      </c>
    </row>
    <row r="279" spans="1:8" s="1" customFormat="1" x14ac:dyDescent="0.35">
      <c r="A279" s="1" t="s">
        <v>524</v>
      </c>
      <c r="B279" s="1" t="s">
        <v>171</v>
      </c>
      <c r="C279" s="3">
        <v>6218</v>
      </c>
      <c r="D279" s="1">
        <v>12</v>
      </c>
      <c r="E279" s="1" t="s">
        <v>245</v>
      </c>
      <c r="F279" s="1">
        <v>0.52300000000000002</v>
      </c>
      <c r="G279" s="1">
        <v>0</v>
      </c>
      <c r="H279" s="2">
        <v>0.378</v>
      </c>
    </row>
    <row r="280" spans="1:8" s="1" customFormat="1" x14ac:dyDescent="0.35">
      <c r="A280" s="1" t="s">
        <v>525</v>
      </c>
      <c r="B280" s="1" t="s">
        <v>171</v>
      </c>
      <c r="C280" s="3">
        <v>1555</v>
      </c>
      <c r="D280" s="1">
        <v>2</v>
      </c>
      <c r="E280" s="1" t="s">
        <v>245</v>
      </c>
      <c r="F280" s="1">
        <v>0.44869999999999999</v>
      </c>
      <c r="G280" s="1">
        <v>0</v>
      </c>
      <c r="H280" s="2">
        <v>0.32400000000000001</v>
      </c>
    </row>
    <row r="281" spans="1:8" s="1" customFormat="1" x14ac:dyDescent="0.35">
      <c r="A281" s="1" t="s">
        <v>526</v>
      </c>
      <c r="B281" s="1" t="s">
        <v>171</v>
      </c>
      <c r="C281" s="3">
        <v>4547</v>
      </c>
      <c r="D281" s="1">
        <v>7</v>
      </c>
      <c r="E281" s="1" t="s">
        <v>245</v>
      </c>
      <c r="F281" s="1">
        <v>0.6069</v>
      </c>
      <c r="G281" s="1">
        <v>0</v>
      </c>
      <c r="H281" s="2">
        <v>0.439</v>
      </c>
    </row>
    <row r="282" spans="1:8" s="1" customFormat="1" x14ac:dyDescent="0.35">
      <c r="A282" s="1" t="s">
        <v>527</v>
      </c>
      <c r="B282" s="1" t="s">
        <v>171</v>
      </c>
      <c r="C282" s="3">
        <v>1163</v>
      </c>
      <c r="D282" s="1">
        <v>2</v>
      </c>
      <c r="E282" s="1" t="s">
        <v>245</v>
      </c>
      <c r="F282" s="1">
        <v>0.59330000000000005</v>
      </c>
      <c r="G282" s="1">
        <v>0</v>
      </c>
      <c r="H282" s="2">
        <v>0.42899999999999999</v>
      </c>
    </row>
    <row r="283" spans="1:8" s="1" customFormat="1" x14ac:dyDescent="0.35">
      <c r="A283" s="1" t="s">
        <v>528</v>
      </c>
      <c r="B283" s="1" t="s">
        <v>171</v>
      </c>
      <c r="C283" s="1">
        <v>424</v>
      </c>
      <c r="D283" s="1">
        <v>1</v>
      </c>
      <c r="E283" s="1" t="s">
        <v>245</v>
      </c>
      <c r="F283" s="1">
        <v>0.60109999999999997</v>
      </c>
      <c r="G283" s="1">
        <v>0</v>
      </c>
      <c r="H283" s="2">
        <v>0.434</v>
      </c>
    </row>
    <row r="284" spans="1:8" s="1" customFormat="1" x14ac:dyDescent="0.35">
      <c r="A284" s="1" t="s">
        <v>529</v>
      </c>
      <c r="B284" s="1" t="s">
        <v>171</v>
      </c>
      <c r="C284" s="1">
        <v>309</v>
      </c>
      <c r="D284" s="1">
        <v>1</v>
      </c>
      <c r="E284" s="1" t="s">
        <v>245</v>
      </c>
      <c r="F284" s="1">
        <v>0.34389999999999998</v>
      </c>
      <c r="G284" s="1">
        <v>0</v>
      </c>
      <c r="H284" s="2">
        <v>0.249</v>
      </c>
    </row>
    <row r="285" spans="1:8" s="1" customFormat="1" x14ac:dyDescent="0.35">
      <c r="A285" s="1" t="s">
        <v>530</v>
      </c>
      <c r="B285" s="1" t="s">
        <v>171</v>
      </c>
      <c r="C285" s="3">
        <v>1379</v>
      </c>
      <c r="D285" s="1">
        <v>2</v>
      </c>
      <c r="E285" s="1" t="s">
        <v>245</v>
      </c>
      <c r="F285" s="1">
        <v>0.85709999999999997</v>
      </c>
      <c r="G285" s="1">
        <v>0</v>
      </c>
      <c r="H285" s="2">
        <v>0.61899999999999999</v>
      </c>
    </row>
    <row r="286" spans="1:8" s="1" customFormat="1" x14ac:dyDescent="0.35">
      <c r="A286" s="1" t="s">
        <v>531</v>
      </c>
      <c r="B286" s="1" t="s">
        <v>171</v>
      </c>
      <c r="C286" s="3">
        <v>1174</v>
      </c>
      <c r="D286" s="1">
        <v>1</v>
      </c>
      <c r="E286" s="1" t="s">
        <v>245</v>
      </c>
      <c r="F286" s="1">
        <v>0.34200000000000003</v>
      </c>
      <c r="G286" s="1">
        <v>0</v>
      </c>
      <c r="H286" s="2">
        <v>0.247</v>
      </c>
    </row>
    <row r="287" spans="1:8" s="1" customFormat="1" x14ac:dyDescent="0.35">
      <c r="A287" s="1" t="s">
        <v>532</v>
      </c>
      <c r="B287" s="1" t="s">
        <v>171</v>
      </c>
      <c r="C287" s="1">
        <v>555</v>
      </c>
      <c r="D287" s="1">
        <v>2</v>
      </c>
      <c r="E287" s="1" t="s">
        <v>245</v>
      </c>
      <c r="F287" s="1">
        <v>0.35139999999999999</v>
      </c>
      <c r="G287" s="1">
        <v>0</v>
      </c>
      <c r="H287" s="2">
        <v>0.254</v>
      </c>
    </row>
    <row r="288" spans="1:8" s="1" customFormat="1" x14ac:dyDescent="0.35">
      <c r="A288" s="1" t="s">
        <v>533</v>
      </c>
      <c r="B288" s="1" t="s">
        <v>171</v>
      </c>
      <c r="C288" s="1">
        <v>517</v>
      </c>
      <c r="D288" s="1">
        <v>2</v>
      </c>
      <c r="E288" s="1" t="s">
        <v>245</v>
      </c>
      <c r="F288" s="1">
        <v>0.34089999999999998</v>
      </c>
      <c r="G288" s="1">
        <v>0</v>
      </c>
      <c r="H288" s="2">
        <v>0.246</v>
      </c>
    </row>
    <row r="289" spans="1:8" s="1" customFormat="1" x14ac:dyDescent="0.35">
      <c r="A289" s="1" t="s">
        <v>534</v>
      </c>
      <c r="B289" s="1" t="s">
        <v>171</v>
      </c>
      <c r="C289" s="1">
        <v>441</v>
      </c>
      <c r="D289" s="1">
        <v>10</v>
      </c>
      <c r="E289" s="1" t="s">
        <v>245</v>
      </c>
      <c r="F289" s="1">
        <v>0.3589</v>
      </c>
      <c r="G289" s="1">
        <v>0</v>
      </c>
      <c r="H289" s="2">
        <v>0.25900000000000001</v>
      </c>
    </row>
    <row r="290" spans="1:8" s="1" customFormat="1" x14ac:dyDescent="0.35">
      <c r="A290" s="1" t="s">
        <v>535</v>
      </c>
      <c r="B290" s="1" t="s">
        <v>171</v>
      </c>
      <c r="C290" s="1">
        <v>297</v>
      </c>
      <c r="D290" s="1">
        <v>4</v>
      </c>
      <c r="E290" s="1" t="s">
        <v>245</v>
      </c>
      <c r="F290" s="1">
        <v>0.35010000000000002</v>
      </c>
      <c r="G290" s="1">
        <v>0</v>
      </c>
      <c r="H290" s="2">
        <v>0.253</v>
      </c>
    </row>
    <row r="291" spans="1:8" s="1" customFormat="1" x14ac:dyDescent="0.35">
      <c r="A291" s="1" t="s">
        <v>536</v>
      </c>
      <c r="B291" s="1" t="s">
        <v>171</v>
      </c>
      <c r="C291" s="1">
        <v>706</v>
      </c>
      <c r="D291" s="1">
        <v>2</v>
      </c>
      <c r="E291" s="1" t="s">
        <v>245</v>
      </c>
      <c r="F291" s="1">
        <v>0.35460000000000003</v>
      </c>
      <c r="G291" s="1">
        <v>0</v>
      </c>
      <c r="H291" s="2">
        <v>0.25600000000000001</v>
      </c>
    </row>
    <row r="292" spans="1:8" s="1" customFormat="1" x14ac:dyDescent="0.35">
      <c r="A292" s="1" t="s">
        <v>537</v>
      </c>
      <c r="B292" s="1" t="s">
        <v>171</v>
      </c>
      <c r="C292" s="1">
        <v>763</v>
      </c>
      <c r="D292" s="1">
        <v>2</v>
      </c>
      <c r="E292" s="1" t="s">
        <v>245</v>
      </c>
      <c r="F292" s="1">
        <v>0.4486</v>
      </c>
      <c r="G292" s="1">
        <v>0</v>
      </c>
      <c r="H292" s="2">
        <v>0.32400000000000001</v>
      </c>
    </row>
    <row r="293" spans="1:8" s="1" customFormat="1" x14ac:dyDescent="0.35">
      <c r="A293" s="1" t="s">
        <v>538</v>
      </c>
      <c r="B293" s="1" t="s">
        <v>171</v>
      </c>
      <c r="C293" s="1">
        <v>516</v>
      </c>
      <c r="D293" s="1">
        <v>8</v>
      </c>
      <c r="E293" s="1" t="s">
        <v>245</v>
      </c>
      <c r="F293" s="1">
        <v>0.46179999999999999</v>
      </c>
      <c r="G293" s="1">
        <v>0</v>
      </c>
      <c r="H293" s="2">
        <v>0.33400000000000002</v>
      </c>
    </row>
    <row r="294" spans="1:8" s="1" customFormat="1" x14ac:dyDescent="0.35">
      <c r="A294" s="1" t="s">
        <v>539</v>
      </c>
      <c r="B294" s="1" t="s">
        <v>171</v>
      </c>
      <c r="C294" s="1">
        <v>158</v>
      </c>
      <c r="D294" s="1">
        <v>2</v>
      </c>
      <c r="E294" s="1" t="s">
        <v>245</v>
      </c>
      <c r="F294" s="1">
        <v>0.46200000000000002</v>
      </c>
      <c r="G294" s="1">
        <v>0</v>
      </c>
      <c r="H294" s="2">
        <v>0.33400000000000002</v>
      </c>
    </row>
    <row r="295" spans="1:8" s="1" customFormat="1" x14ac:dyDescent="0.35">
      <c r="A295" s="1" t="s">
        <v>540</v>
      </c>
      <c r="B295" s="1" t="s">
        <v>171</v>
      </c>
      <c r="C295" s="3">
        <v>1356</v>
      </c>
      <c r="D295" s="1">
        <v>3</v>
      </c>
      <c r="E295" s="1" t="s">
        <v>245</v>
      </c>
      <c r="F295" s="1">
        <v>0.30869999999999997</v>
      </c>
      <c r="G295" s="1">
        <v>0</v>
      </c>
      <c r="H295" s="2">
        <v>0.223</v>
      </c>
    </row>
    <row r="296" spans="1:8" s="1" customFormat="1" x14ac:dyDescent="0.35">
      <c r="A296" s="1" t="s">
        <v>541</v>
      </c>
      <c r="B296" s="1" t="s">
        <v>171</v>
      </c>
      <c r="C296" s="3">
        <v>1060</v>
      </c>
      <c r="D296" s="1">
        <v>2</v>
      </c>
      <c r="E296" s="1" t="s">
        <v>245</v>
      </c>
      <c r="F296" s="1">
        <v>0.42409999999999998</v>
      </c>
      <c r="G296" s="1">
        <v>0</v>
      </c>
      <c r="H296" s="2">
        <v>0.30599999999999999</v>
      </c>
    </row>
    <row r="297" spans="1:8" s="1" customFormat="1" x14ac:dyDescent="0.35">
      <c r="A297" s="1" t="s">
        <v>542</v>
      </c>
      <c r="B297" s="1" t="s">
        <v>171</v>
      </c>
      <c r="C297" s="1">
        <v>647</v>
      </c>
      <c r="D297" s="1">
        <v>1</v>
      </c>
      <c r="E297" s="1" t="s">
        <v>245</v>
      </c>
      <c r="F297" s="1">
        <v>0.3155</v>
      </c>
      <c r="G297" s="1">
        <v>0</v>
      </c>
      <c r="H297" s="2">
        <v>0.22800000000000001</v>
      </c>
    </row>
    <row r="298" spans="1:8" s="1" customFormat="1" x14ac:dyDescent="0.35">
      <c r="A298" s="1" t="s">
        <v>543</v>
      </c>
      <c r="B298" s="1" t="s">
        <v>171</v>
      </c>
      <c r="C298" s="1">
        <v>451</v>
      </c>
      <c r="D298" s="1">
        <v>1</v>
      </c>
      <c r="E298" s="1" t="s">
        <v>245</v>
      </c>
      <c r="F298" s="1">
        <v>0.25890000000000002</v>
      </c>
      <c r="G298" s="1">
        <v>0</v>
      </c>
      <c r="H298" s="2">
        <v>0.187</v>
      </c>
    </row>
    <row r="299" spans="1:8" s="1" customFormat="1" x14ac:dyDescent="0.35">
      <c r="A299" s="1" t="s">
        <v>544</v>
      </c>
      <c r="B299" s="1" t="s">
        <v>171</v>
      </c>
      <c r="C299" s="1">
        <v>700</v>
      </c>
      <c r="D299" s="1">
        <v>4</v>
      </c>
      <c r="E299" s="1" t="s">
        <v>245</v>
      </c>
      <c r="F299" s="1">
        <v>0.32369999999999999</v>
      </c>
      <c r="G299" s="1">
        <v>0</v>
      </c>
      <c r="H299" s="2">
        <v>0.23400000000000001</v>
      </c>
    </row>
    <row r="300" spans="1:8" s="1" customFormat="1" x14ac:dyDescent="0.35">
      <c r="A300" s="1" t="s">
        <v>545</v>
      </c>
      <c r="B300" s="1" t="s">
        <v>171</v>
      </c>
      <c r="C300" s="1">
        <v>681</v>
      </c>
      <c r="D300" s="1">
        <v>1</v>
      </c>
      <c r="E300" s="1" t="s">
        <v>245</v>
      </c>
      <c r="F300" s="1">
        <v>0.33679999999999999</v>
      </c>
      <c r="G300" s="1">
        <v>0</v>
      </c>
      <c r="H300" s="2">
        <v>0.24299999999999999</v>
      </c>
    </row>
    <row r="301" spans="1:8" s="1" customFormat="1" x14ac:dyDescent="0.35">
      <c r="A301" s="1" t="s">
        <v>546</v>
      </c>
      <c r="B301" s="1" t="s">
        <v>171</v>
      </c>
      <c r="C301" s="1">
        <v>294</v>
      </c>
      <c r="D301" s="1">
        <v>6</v>
      </c>
      <c r="E301" s="1" t="s">
        <v>245</v>
      </c>
      <c r="F301" s="1">
        <v>0.32940000000000003</v>
      </c>
      <c r="G301" s="1">
        <v>0</v>
      </c>
      <c r="H301" s="2">
        <v>0.23799999999999999</v>
      </c>
    </row>
    <row r="302" spans="1:8" s="1" customFormat="1" x14ac:dyDescent="0.35">
      <c r="A302" s="1" t="s">
        <v>547</v>
      </c>
      <c r="B302" s="1" t="s">
        <v>171</v>
      </c>
      <c r="C302" s="1">
        <v>501</v>
      </c>
      <c r="D302" s="1">
        <v>3</v>
      </c>
      <c r="E302" s="1" t="s">
        <v>245</v>
      </c>
      <c r="F302" s="1">
        <v>0.47449999999999998</v>
      </c>
      <c r="G302" s="1">
        <v>0</v>
      </c>
      <c r="H302" s="2">
        <v>0.34300000000000003</v>
      </c>
    </row>
    <row r="303" spans="1:8" s="1" customFormat="1" x14ac:dyDescent="0.35">
      <c r="A303" s="1" t="s">
        <v>548</v>
      </c>
      <c r="B303" s="1" t="s">
        <v>171</v>
      </c>
      <c r="C303" s="1">
        <v>336</v>
      </c>
      <c r="D303" s="1">
        <v>2</v>
      </c>
      <c r="E303" s="1" t="s">
        <v>245</v>
      </c>
      <c r="F303" s="1">
        <v>0.4556</v>
      </c>
      <c r="G303" s="1">
        <v>0</v>
      </c>
      <c r="H303" s="2">
        <v>0.32900000000000001</v>
      </c>
    </row>
    <row r="304" spans="1:8" s="1" customFormat="1" x14ac:dyDescent="0.35">
      <c r="A304" s="1" t="s">
        <v>549</v>
      </c>
      <c r="B304" s="1" t="s">
        <v>171</v>
      </c>
      <c r="C304" s="1">
        <v>458</v>
      </c>
      <c r="D304" s="1">
        <v>2</v>
      </c>
      <c r="E304" s="1" t="s">
        <v>245</v>
      </c>
      <c r="F304" s="1">
        <v>0.34</v>
      </c>
      <c r="G304" s="1">
        <v>0</v>
      </c>
      <c r="H304" s="2">
        <v>0.246</v>
      </c>
    </row>
    <row r="305" spans="1:8" s="1" customFormat="1" x14ac:dyDescent="0.35">
      <c r="A305" s="1" t="s">
        <v>550</v>
      </c>
      <c r="B305" s="1" t="s">
        <v>171</v>
      </c>
      <c r="C305" s="1">
        <v>152</v>
      </c>
      <c r="D305" s="1">
        <v>2</v>
      </c>
      <c r="E305" s="1" t="s">
        <v>245</v>
      </c>
      <c r="F305" s="1">
        <v>0.35339999999999999</v>
      </c>
      <c r="G305" s="1">
        <v>0</v>
      </c>
      <c r="H305" s="2">
        <v>0.255</v>
      </c>
    </row>
    <row r="306" spans="1:8" s="1" customFormat="1" x14ac:dyDescent="0.35">
      <c r="A306" s="1" t="s">
        <v>551</v>
      </c>
      <c r="B306" s="1" t="s">
        <v>171</v>
      </c>
      <c r="C306" s="1">
        <v>197</v>
      </c>
      <c r="D306" s="1">
        <v>2</v>
      </c>
      <c r="E306" s="1" t="s">
        <v>245</v>
      </c>
      <c r="F306" s="1">
        <v>0.434</v>
      </c>
      <c r="G306" s="1">
        <v>0</v>
      </c>
      <c r="H306" s="2">
        <v>0.314</v>
      </c>
    </row>
    <row r="307" spans="1:8" s="1" customFormat="1" x14ac:dyDescent="0.35">
      <c r="A307" s="1" t="s">
        <v>552</v>
      </c>
      <c r="B307" s="1" t="s">
        <v>171</v>
      </c>
      <c r="C307" s="1">
        <v>290</v>
      </c>
      <c r="D307" s="1">
        <v>2</v>
      </c>
      <c r="E307" s="1" t="s">
        <v>245</v>
      </c>
      <c r="F307" s="1">
        <v>0.30790000000000001</v>
      </c>
      <c r="G307" s="1">
        <v>0</v>
      </c>
      <c r="H307" s="2">
        <v>0.222</v>
      </c>
    </row>
    <row r="308" spans="1:8" s="1" customFormat="1" x14ac:dyDescent="0.35">
      <c r="A308" s="1" t="s">
        <v>553</v>
      </c>
      <c r="B308" s="1" t="s">
        <v>171</v>
      </c>
      <c r="C308" s="1">
        <v>190</v>
      </c>
      <c r="D308" s="1">
        <v>2</v>
      </c>
      <c r="E308" s="1" t="s">
        <v>245</v>
      </c>
      <c r="F308" s="1">
        <v>0.33729999999999999</v>
      </c>
      <c r="G308" s="1">
        <v>0</v>
      </c>
      <c r="H308" s="2">
        <v>0.24399999999999999</v>
      </c>
    </row>
    <row r="309" spans="1:8" s="1" customFormat="1" x14ac:dyDescent="0.35">
      <c r="A309" s="1" t="s">
        <v>554</v>
      </c>
      <c r="B309" s="1" t="s">
        <v>171</v>
      </c>
      <c r="C309" s="1">
        <v>532</v>
      </c>
      <c r="D309" s="1">
        <v>2</v>
      </c>
      <c r="E309" s="1" t="s">
        <v>245</v>
      </c>
      <c r="F309" s="1">
        <v>0.31080000000000002</v>
      </c>
      <c r="G309" s="1">
        <v>0</v>
      </c>
      <c r="H309" s="2">
        <v>0.22500000000000001</v>
      </c>
    </row>
    <row r="310" spans="1:8" s="1" customFormat="1" x14ac:dyDescent="0.35">
      <c r="A310" s="1" t="s">
        <v>555</v>
      </c>
      <c r="B310" s="1" t="s">
        <v>171</v>
      </c>
      <c r="C310" s="1">
        <v>506</v>
      </c>
      <c r="D310" s="1">
        <v>2</v>
      </c>
      <c r="E310" s="1" t="s">
        <v>245</v>
      </c>
      <c r="F310" s="1">
        <v>0.3281</v>
      </c>
      <c r="G310" s="1">
        <v>0</v>
      </c>
      <c r="H310" s="2">
        <v>0.23699999999999999</v>
      </c>
    </row>
    <row r="311" spans="1:8" s="1" customFormat="1" x14ac:dyDescent="0.35">
      <c r="A311" s="1" t="s">
        <v>556</v>
      </c>
      <c r="B311" s="1" t="s">
        <v>171</v>
      </c>
      <c r="C311" s="1">
        <v>531</v>
      </c>
      <c r="D311" s="1">
        <v>3</v>
      </c>
      <c r="E311" s="1" t="s">
        <v>245</v>
      </c>
      <c r="F311" s="1">
        <v>0.32200000000000001</v>
      </c>
      <c r="G311" s="1">
        <v>0</v>
      </c>
      <c r="H311" s="2">
        <v>0.23300000000000001</v>
      </c>
    </row>
    <row r="312" spans="1:8" s="1" customFormat="1" x14ac:dyDescent="0.35">
      <c r="A312" s="1" t="s">
        <v>557</v>
      </c>
      <c r="B312" s="1" t="s">
        <v>171</v>
      </c>
      <c r="C312" s="1">
        <v>569</v>
      </c>
      <c r="D312" s="1">
        <v>1</v>
      </c>
      <c r="E312" s="1" t="s">
        <v>245</v>
      </c>
      <c r="F312" s="1">
        <v>0.30409999999999998</v>
      </c>
      <c r="G312" s="1">
        <v>0</v>
      </c>
      <c r="H312" s="2">
        <v>0.22</v>
      </c>
    </row>
    <row r="313" spans="1:8" s="1" customFormat="1" x14ac:dyDescent="0.35">
      <c r="A313" s="1" t="s">
        <v>558</v>
      </c>
      <c r="B313" s="1" t="s">
        <v>171</v>
      </c>
      <c r="C313" s="1">
        <v>278</v>
      </c>
      <c r="D313" s="1">
        <v>4</v>
      </c>
      <c r="E313" s="1" t="s">
        <v>245</v>
      </c>
      <c r="F313" s="1">
        <v>0.33800000000000002</v>
      </c>
      <c r="G313" s="1">
        <v>0</v>
      </c>
      <c r="H313" s="2">
        <v>0.24399999999999999</v>
      </c>
    </row>
    <row r="314" spans="1:8" s="1" customFormat="1" x14ac:dyDescent="0.35">
      <c r="A314" s="1" t="s">
        <v>559</v>
      </c>
      <c r="B314" s="1" t="s">
        <v>171</v>
      </c>
      <c r="C314" s="1">
        <v>20</v>
      </c>
      <c r="D314" s="1">
        <v>1</v>
      </c>
      <c r="E314" s="1" t="s">
        <v>245</v>
      </c>
      <c r="F314" s="1">
        <v>0.5171</v>
      </c>
      <c r="G314" s="1">
        <v>0</v>
      </c>
      <c r="H314" s="2">
        <v>0.374</v>
      </c>
    </row>
    <row r="315" spans="1:8" s="1" customFormat="1" x14ac:dyDescent="0.35">
      <c r="A315" s="1" t="s">
        <v>560</v>
      </c>
      <c r="B315" s="1" t="s">
        <v>171</v>
      </c>
      <c r="C315" s="1">
        <v>163</v>
      </c>
      <c r="D315" s="1">
        <v>2</v>
      </c>
      <c r="E315" s="1" t="s">
        <v>245</v>
      </c>
      <c r="F315" s="1">
        <v>0.35830000000000001</v>
      </c>
      <c r="G315" s="1">
        <v>0</v>
      </c>
      <c r="H315" s="2">
        <v>0.25900000000000001</v>
      </c>
    </row>
    <row r="316" spans="1:8" s="1" customFormat="1" x14ac:dyDescent="0.35">
      <c r="A316" s="1" t="s">
        <v>561</v>
      </c>
      <c r="B316" s="1" t="s">
        <v>171</v>
      </c>
      <c r="C316" s="1">
        <v>421</v>
      </c>
      <c r="D316" s="1">
        <v>3</v>
      </c>
      <c r="E316" s="1" t="s">
        <v>245</v>
      </c>
      <c r="F316" s="1">
        <v>0.44919999999999999</v>
      </c>
      <c r="G316" s="1">
        <v>0</v>
      </c>
      <c r="H316" s="2">
        <v>0.32500000000000001</v>
      </c>
    </row>
    <row r="317" spans="1:8" s="1" customFormat="1" x14ac:dyDescent="0.35">
      <c r="A317" s="1" t="s">
        <v>562</v>
      </c>
      <c r="B317" s="1" t="s">
        <v>171</v>
      </c>
      <c r="C317" s="1">
        <v>852</v>
      </c>
      <c r="D317" s="1">
        <v>2</v>
      </c>
      <c r="E317" s="1" t="s">
        <v>245</v>
      </c>
      <c r="F317" s="1">
        <v>0.35849999999999999</v>
      </c>
      <c r="G317" s="1">
        <v>0</v>
      </c>
      <c r="H317" s="2">
        <v>0.25900000000000001</v>
      </c>
    </row>
    <row r="318" spans="1:8" s="1" customFormat="1" x14ac:dyDescent="0.35">
      <c r="A318" s="1" t="s">
        <v>563</v>
      </c>
      <c r="B318" s="1" t="s">
        <v>171</v>
      </c>
      <c r="C318" s="1">
        <v>471</v>
      </c>
      <c r="D318" s="1">
        <v>18</v>
      </c>
      <c r="E318" s="1" t="s">
        <v>245</v>
      </c>
      <c r="F318" s="1">
        <v>0.3548</v>
      </c>
      <c r="G318" s="1">
        <v>0</v>
      </c>
      <c r="H318" s="2">
        <v>0.25600000000000001</v>
      </c>
    </row>
    <row r="319" spans="1:8" s="1" customFormat="1" x14ac:dyDescent="0.35">
      <c r="A319" s="1" t="s">
        <v>564</v>
      </c>
      <c r="B319" s="1" t="s">
        <v>171</v>
      </c>
      <c r="C319" s="1">
        <v>744</v>
      </c>
      <c r="D319" s="1">
        <v>2</v>
      </c>
      <c r="E319" s="1" t="s">
        <v>245</v>
      </c>
      <c r="F319" s="1">
        <v>0.3468</v>
      </c>
      <c r="G319" s="1">
        <v>0</v>
      </c>
      <c r="H319" s="2">
        <v>0.251</v>
      </c>
    </row>
    <row r="320" spans="1:8" s="1" customFormat="1" x14ac:dyDescent="0.35">
      <c r="A320" s="1" t="s">
        <v>565</v>
      </c>
      <c r="B320" s="1" t="s">
        <v>171</v>
      </c>
      <c r="C320" s="3">
        <v>1004</v>
      </c>
      <c r="D320" s="1">
        <v>2</v>
      </c>
      <c r="E320" s="1" t="s">
        <v>245</v>
      </c>
      <c r="F320" s="1">
        <v>0.65190000000000003</v>
      </c>
      <c r="G320" s="1">
        <v>0</v>
      </c>
      <c r="H320" s="2">
        <v>0.47099999999999997</v>
      </c>
    </row>
    <row r="321" spans="1:8" s="1" customFormat="1" x14ac:dyDescent="0.35">
      <c r="A321" s="1" t="s">
        <v>566</v>
      </c>
      <c r="B321" s="1" t="s">
        <v>171</v>
      </c>
      <c r="C321" s="1">
        <v>577</v>
      </c>
      <c r="D321" s="1">
        <v>2</v>
      </c>
      <c r="E321" s="1" t="s">
        <v>245</v>
      </c>
      <c r="F321" s="1">
        <v>0.43080000000000002</v>
      </c>
      <c r="G321" s="1">
        <v>0</v>
      </c>
      <c r="H321" s="2">
        <v>0.311</v>
      </c>
    </row>
    <row r="322" spans="1:8" s="1" customFormat="1" x14ac:dyDescent="0.35">
      <c r="A322" s="1" t="s">
        <v>567</v>
      </c>
      <c r="B322" s="1" t="s">
        <v>171</v>
      </c>
      <c r="C322" s="3">
        <v>1007</v>
      </c>
      <c r="D322" s="1">
        <v>3</v>
      </c>
      <c r="E322" s="1" t="s">
        <v>245</v>
      </c>
      <c r="F322" s="1">
        <v>0.43730000000000002</v>
      </c>
      <c r="G322" s="1">
        <v>0</v>
      </c>
      <c r="H322" s="2">
        <v>0.316</v>
      </c>
    </row>
    <row r="323" spans="1:8" s="1" customFormat="1" x14ac:dyDescent="0.35">
      <c r="A323" s="1" t="s">
        <v>568</v>
      </c>
      <c r="B323" s="1" t="s">
        <v>171</v>
      </c>
      <c r="C323" s="1">
        <v>847</v>
      </c>
      <c r="D323" s="1">
        <v>2</v>
      </c>
      <c r="E323" s="1" t="s">
        <v>245</v>
      </c>
      <c r="F323" s="1">
        <v>0.43099999999999999</v>
      </c>
      <c r="G323" s="1">
        <v>0</v>
      </c>
      <c r="H323" s="2">
        <v>0.311</v>
      </c>
    </row>
    <row r="324" spans="1:8" s="1" customFormat="1" x14ac:dyDescent="0.35">
      <c r="A324" s="1" t="s">
        <v>569</v>
      </c>
      <c r="B324" s="1" t="s">
        <v>171</v>
      </c>
      <c r="C324" s="1">
        <v>783</v>
      </c>
      <c r="D324" s="1">
        <v>1</v>
      </c>
      <c r="E324" s="1" t="s">
        <v>245</v>
      </c>
      <c r="F324" s="1">
        <v>0.67869999999999997</v>
      </c>
      <c r="G324" s="1">
        <v>0</v>
      </c>
      <c r="H324" s="2">
        <v>0.49</v>
      </c>
    </row>
    <row r="325" spans="1:8" s="1" customFormat="1" x14ac:dyDescent="0.35">
      <c r="A325" s="1" t="s">
        <v>570</v>
      </c>
      <c r="B325" s="1" t="s">
        <v>171</v>
      </c>
      <c r="C325" s="1">
        <v>808</v>
      </c>
      <c r="D325" s="1">
        <v>1</v>
      </c>
      <c r="E325" s="1" t="s">
        <v>245</v>
      </c>
      <c r="F325" s="1">
        <v>0.47460000000000002</v>
      </c>
      <c r="G325" s="1">
        <v>0</v>
      </c>
      <c r="H325" s="2">
        <v>0.34300000000000003</v>
      </c>
    </row>
    <row r="326" spans="1:8" s="1" customFormat="1" x14ac:dyDescent="0.35">
      <c r="A326" s="1" t="s">
        <v>571</v>
      </c>
      <c r="B326" s="1" t="s">
        <v>171</v>
      </c>
      <c r="C326" s="1">
        <v>713</v>
      </c>
      <c r="D326" s="1">
        <v>2</v>
      </c>
      <c r="E326" s="1" t="s">
        <v>245</v>
      </c>
      <c r="F326" s="1">
        <v>0.67410000000000003</v>
      </c>
      <c r="G326" s="1">
        <v>0</v>
      </c>
      <c r="H326" s="2">
        <v>0.48699999999999999</v>
      </c>
    </row>
    <row r="327" spans="1:8" s="1" customFormat="1" x14ac:dyDescent="0.35">
      <c r="A327" s="1" t="s">
        <v>572</v>
      </c>
      <c r="B327" s="1" t="s">
        <v>171</v>
      </c>
      <c r="C327" s="1">
        <v>857</v>
      </c>
      <c r="D327" s="1">
        <v>2</v>
      </c>
      <c r="E327" s="1" t="s">
        <v>245</v>
      </c>
      <c r="F327" s="1">
        <v>0.50190000000000001</v>
      </c>
      <c r="G327" s="1">
        <v>0</v>
      </c>
      <c r="H327" s="2">
        <v>0.36299999999999999</v>
      </c>
    </row>
    <row r="328" spans="1:8" s="1" customFormat="1" x14ac:dyDescent="0.35">
      <c r="A328" s="1" t="s">
        <v>573</v>
      </c>
      <c r="B328" s="1" t="s">
        <v>171</v>
      </c>
      <c r="C328" s="1">
        <v>672</v>
      </c>
      <c r="D328" s="1">
        <v>1</v>
      </c>
      <c r="E328" s="1" t="s">
        <v>245</v>
      </c>
      <c r="F328" s="1">
        <v>0.57720000000000005</v>
      </c>
      <c r="G328" s="1">
        <v>0</v>
      </c>
      <c r="H328" s="2">
        <v>0.41699999999999998</v>
      </c>
    </row>
    <row r="329" spans="1:8" s="1" customFormat="1" x14ac:dyDescent="0.35">
      <c r="A329" s="1" t="s">
        <v>574</v>
      </c>
      <c r="B329" s="1" t="s">
        <v>171</v>
      </c>
      <c r="C329" s="1">
        <v>476</v>
      </c>
      <c r="D329" s="1">
        <v>1</v>
      </c>
      <c r="E329" s="1" t="s">
        <v>245</v>
      </c>
      <c r="F329" s="1">
        <v>0.51180000000000003</v>
      </c>
      <c r="G329" s="1">
        <v>0</v>
      </c>
      <c r="H329" s="2">
        <v>0.37</v>
      </c>
    </row>
    <row r="330" spans="1:8" s="1" customFormat="1" x14ac:dyDescent="0.35">
      <c r="A330" s="1" t="s">
        <v>575</v>
      </c>
      <c r="B330" s="1" t="s">
        <v>171</v>
      </c>
      <c r="C330" s="3">
        <v>1553</v>
      </c>
      <c r="D330" s="1">
        <v>1</v>
      </c>
      <c r="E330" s="1" t="s">
        <v>245</v>
      </c>
      <c r="F330" s="1">
        <v>0.4723</v>
      </c>
      <c r="G330" s="1">
        <v>0</v>
      </c>
      <c r="H330" s="2">
        <v>0.34100000000000003</v>
      </c>
    </row>
    <row r="331" spans="1:8" s="1" customFormat="1" x14ac:dyDescent="0.35">
      <c r="A331" s="1" t="s">
        <v>576</v>
      </c>
      <c r="B331" s="1" t="s">
        <v>171</v>
      </c>
      <c r="C331" s="1">
        <v>891</v>
      </c>
      <c r="D331" s="1">
        <v>3</v>
      </c>
      <c r="E331" s="1" t="s">
        <v>245</v>
      </c>
      <c r="F331" s="1">
        <v>0.47460000000000002</v>
      </c>
      <c r="G331" s="1">
        <v>0</v>
      </c>
      <c r="H331" s="2">
        <v>0.34300000000000003</v>
      </c>
    </row>
    <row r="332" spans="1:8" s="1" customFormat="1" x14ac:dyDescent="0.35">
      <c r="A332" s="1" t="s">
        <v>577</v>
      </c>
      <c r="B332" s="1" t="s">
        <v>171</v>
      </c>
      <c r="C332" s="3">
        <v>1472</v>
      </c>
      <c r="D332" s="1">
        <v>1</v>
      </c>
      <c r="E332" s="1" t="s">
        <v>245</v>
      </c>
      <c r="F332" s="1">
        <v>0.48470000000000002</v>
      </c>
      <c r="G332" s="1">
        <v>0</v>
      </c>
      <c r="H332" s="2">
        <v>0.35</v>
      </c>
    </row>
    <row r="333" spans="1:8" s="1" customFormat="1" x14ac:dyDescent="0.35">
      <c r="A333" s="1" t="s">
        <v>578</v>
      </c>
      <c r="B333" s="1" t="s">
        <v>171</v>
      </c>
      <c r="C333" s="1">
        <v>335</v>
      </c>
      <c r="D333" s="1">
        <v>2</v>
      </c>
      <c r="E333" s="1" t="s">
        <v>245</v>
      </c>
      <c r="F333" s="1">
        <v>0.45190000000000002</v>
      </c>
      <c r="G333" s="1">
        <v>0</v>
      </c>
      <c r="H333" s="2">
        <v>0.32700000000000001</v>
      </c>
    </row>
    <row r="334" spans="1:8" s="1" customFormat="1" x14ac:dyDescent="0.35">
      <c r="A334" s="1" t="s">
        <v>579</v>
      </c>
      <c r="B334" s="1" t="s">
        <v>171</v>
      </c>
      <c r="C334" s="1">
        <v>215</v>
      </c>
      <c r="D334" s="1">
        <v>10</v>
      </c>
      <c r="E334" s="1" t="s">
        <v>245</v>
      </c>
      <c r="F334" s="1">
        <v>0.36109999999999998</v>
      </c>
      <c r="G334" s="1">
        <v>0</v>
      </c>
      <c r="H334" s="2">
        <v>0.26100000000000001</v>
      </c>
    </row>
    <row r="335" spans="1:8" s="1" customFormat="1" x14ac:dyDescent="0.35">
      <c r="A335" s="1" t="s">
        <v>580</v>
      </c>
      <c r="B335" s="1" t="s">
        <v>171</v>
      </c>
      <c r="C335" s="1">
        <v>71</v>
      </c>
      <c r="D335" s="1">
        <v>2</v>
      </c>
      <c r="E335" s="1" t="s">
        <v>245</v>
      </c>
      <c r="F335" s="1">
        <v>0.35649999999999998</v>
      </c>
      <c r="G335" s="1">
        <v>0</v>
      </c>
      <c r="H335" s="2">
        <v>0.25800000000000001</v>
      </c>
    </row>
    <row r="336" spans="1:8" s="1" customFormat="1" x14ac:dyDescent="0.35">
      <c r="A336" s="1" t="s">
        <v>581</v>
      </c>
      <c r="B336" s="1" t="s">
        <v>11</v>
      </c>
      <c r="C336" s="3">
        <v>3479</v>
      </c>
      <c r="D336" s="1">
        <v>1</v>
      </c>
      <c r="E336" s="1" t="s">
        <v>245</v>
      </c>
      <c r="F336" s="1">
        <v>0.20069999999999999</v>
      </c>
      <c r="G336" s="1">
        <v>0</v>
      </c>
      <c r="H336" s="2">
        <v>0.14499999999999999</v>
      </c>
    </row>
    <row r="337" spans="1:8" s="1" customFormat="1" x14ac:dyDescent="0.35">
      <c r="A337" s="1" t="s">
        <v>582</v>
      </c>
      <c r="B337" s="1" t="s">
        <v>11</v>
      </c>
      <c r="C337" s="1">
        <v>789</v>
      </c>
      <c r="D337" s="1">
        <v>1</v>
      </c>
      <c r="E337" s="1" t="s">
        <v>245</v>
      </c>
      <c r="F337" s="1">
        <v>0.39019999999999999</v>
      </c>
      <c r="G337" s="1">
        <v>0</v>
      </c>
      <c r="H337" s="2">
        <v>0.28199999999999997</v>
      </c>
    </row>
    <row r="338" spans="1:8" s="1" customFormat="1" x14ac:dyDescent="0.35">
      <c r="A338" s="1" t="s">
        <v>583</v>
      </c>
      <c r="B338" s="1" t="s">
        <v>11</v>
      </c>
      <c r="C338" s="3">
        <v>1643</v>
      </c>
      <c r="D338" s="1">
        <v>1</v>
      </c>
      <c r="E338" s="1" t="s">
        <v>245</v>
      </c>
      <c r="F338" s="1">
        <v>0.1052</v>
      </c>
      <c r="G338" s="1">
        <v>0</v>
      </c>
      <c r="H338" s="2">
        <v>7.5999999999999998E-2</v>
      </c>
    </row>
    <row r="339" spans="1:8" s="1" customFormat="1" x14ac:dyDescent="0.35">
      <c r="A339" s="1" t="s">
        <v>584</v>
      </c>
      <c r="B339" s="1" t="s">
        <v>11</v>
      </c>
      <c r="C339" s="3">
        <v>3713</v>
      </c>
      <c r="D339" s="1">
        <v>1</v>
      </c>
      <c r="E339" s="1" t="s">
        <v>245</v>
      </c>
      <c r="F339" s="1">
        <v>0.15970000000000001</v>
      </c>
      <c r="G339" s="1">
        <v>0</v>
      </c>
      <c r="H339" s="2">
        <v>0.115</v>
      </c>
    </row>
    <row r="340" spans="1:8" s="1" customFormat="1" x14ac:dyDescent="0.35">
      <c r="A340" s="1" t="s">
        <v>585</v>
      </c>
      <c r="B340" s="1" t="s">
        <v>11</v>
      </c>
      <c r="C340" s="1">
        <v>749</v>
      </c>
      <c r="D340" s="1">
        <v>1</v>
      </c>
      <c r="E340" s="1" t="s">
        <v>245</v>
      </c>
      <c r="F340" s="1">
        <v>0.3901</v>
      </c>
      <c r="G340" s="1">
        <v>0</v>
      </c>
      <c r="H340" s="2">
        <v>0.28199999999999997</v>
      </c>
    </row>
    <row r="341" spans="1:8" s="1" customFormat="1" x14ac:dyDescent="0.35">
      <c r="A341" s="1" t="s">
        <v>586</v>
      </c>
      <c r="B341" s="1" t="s">
        <v>11</v>
      </c>
      <c r="C341" s="3">
        <v>4570</v>
      </c>
      <c r="D341" s="1">
        <v>2</v>
      </c>
      <c r="E341" s="1" t="s">
        <v>245</v>
      </c>
      <c r="F341" s="1">
        <v>0.24010000000000001</v>
      </c>
      <c r="G341" s="1">
        <v>0</v>
      </c>
      <c r="H341" s="2">
        <v>0.17399999999999999</v>
      </c>
    </row>
    <row r="342" spans="1:8" s="1" customFormat="1" x14ac:dyDescent="0.35">
      <c r="A342" s="1" t="s">
        <v>587</v>
      </c>
      <c r="B342" s="1" t="s">
        <v>11</v>
      </c>
      <c r="C342" s="3">
        <v>1544</v>
      </c>
      <c r="D342" s="1">
        <v>1</v>
      </c>
      <c r="E342" s="1" t="s">
        <v>245</v>
      </c>
      <c r="F342" s="1">
        <v>0.23680000000000001</v>
      </c>
      <c r="G342" s="1">
        <v>0</v>
      </c>
      <c r="H342" s="2">
        <v>0.17100000000000001</v>
      </c>
    </row>
    <row r="343" spans="1:8" s="1" customFormat="1" x14ac:dyDescent="0.35">
      <c r="A343" s="1" t="s">
        <v>588</v>
      </c>
      <c r="B343" s="1" t="s">
        <v>11</v>
      </c>
      <c r="C343" s="1">
        <v>755</v>
      </c>
      <c r="D343" s="1">
        <v>1</v>
      </c>
      <c r="E343" s="1" t="s">
        <v>245</v>
      </c>
      <c r="F343" s="1">
        <v>0.21290000000000001</v>
      </c>
      <c r="G343" s="1">
        <v>0</v>
      </c>
      <c r="H343" s="2">
        <v>0.154</v>
      </c>
    </row>
    <row r="344" spans="1:8" s="1" customFormat="1" x14ac:dyDescent="0.35">
      <c r="A344" s="1" t="s">
        <v>589</v>
      </c>
      <c r="B344" s="1" t="s">
        <v>11</v>
      </c>
      <c r="C344" s="3">
        <v>1099</v>
      </c>
      <c r="D344" s="1">
        <v>1</v>
      </c>
      <c r="E344" s="1" t="s">
        <v>245</v>
      </c>
      <c r="F344" s="1">
        <v>0.19320000000000001</v>
      </c>
      <c r="G344" s="1">
        <v>0</v>
      </c>
      <c r="H344" s="2">
        <v>0.14000000000000001</v>
      </c>
    </row>
    <row r="345" spans="1:8" s="1" customFormat="1" x14ac:dyDescent="0.35">
      <c r="A345" s="1" t="s">
        <v>590</v>
      </c>
      <c r="B345" s="1" t="s">
        <v>11</v>
      </c>
      <c r="C345" s="3">
        <v>1606</v>
      </c>
      <c r="D345" s="1">
        <v>2</v>
      </c>
      <c r="E345" s="1" t="s">
        <v>245</v>
      </c>
      <c r="F345" s="1">
        <v>0.18779999999999999</v>
      </c>
      <c r="G345" s="1">
        <v>0</v>
      </c>
      <c r="H345" s="2">
        <v>0.13600000000000001</v>
      </c>
    </row>
    <row r="346" spans="1:8" s="1" customFormat="1" x14ac:dyDescent="0.35">
      <c r="A346" s="1" t="s">
        <v>591</v>
      </c>
      <c r="B346" s="1" t="s">
        <v>11</v>
      </c>
      <c r="C346" s="3">
        <v>1690</v>
      </c>
      <c r="D346" s="1">
        <v>1</v>
      </c>
      <c r="E346" s="1" t="s">
        <v>245</v>
      </c>
      <c r="F346" s="1">
        <v>0.1636</v>
      </c>
      <c r="G346" s="1">
        <v>0</v>
      </c>
      <c r="H346" s="2">
        <v>0.11799999999999999</v>
      </c>
    </row>
    <row r="347" spans="1:8" s="1" customFormat="1" x14ac:dyDescent="0.35">
      <c r="A347" s="1" t="s">
        <v>592</v>
      </c>
      <c r="B347" s="1" t="s">
        <v>11</v>
      </c>
      <c r="C347" s="3">
        <v>1622</v>
      </c>
      <c r="D347" s="1">
        <v>2</v>
      </c>
      <c r="E347" s="1" t="s">
        <v>245</v>
      </c>
      <c r="F347" s="1">
        <v>0.20380000000000001</v>
      </c>
      <c r="G347" s="1">
        <v>0</v>
      </c>
      <c r="H347" s="2">
        <v>0.14699999999999999</v>
      </c>
    </row>
    <row r="348" spans="1:8" s="1" customFormat="1" x14ac:dyDescent="0.35">
      <c r="A348" s="1" t="s">
        <v>593</v>
      </c>
      <c r="B348" s="1" t="s">
        <v>11</v>
      </c>
      <c r="C348" s="3">
        <v>1059</v>
      </c>
      <c r="D348" s="1">
        <v>2</v>
      </c>
      <c r="E348" s="1" t="s">
        <v>245</v>
      </c>
      <c r="F348" s="1">
        <v>0.1956</v>
      </c>
      <c r="G348" s="1">
        <v>0</v>
      </c>
      <c r="H348" s="2">
        <v>0.14099999999999999</v>
      </c>
    </row>
    <row r="349" spans="1:8" s="1" customFormat="1" x14ac:dyDescent="0.35">
      <c r="A349" s="1" t="s">
        <v>594</v>
      </c>
      <c r="B349" s="1" t="s">
        <v>11</v>
      </c>
      <c r="C349" s="3">
        <v>2886</v>
      </c>
      <c r="D349" s="1">
        <v>2</v>
      </c>
      <c r="E349" s="1" t="s">
        <v>245</v>
      </c>
      <c r="F349" s="1">
        <v>0.1812</v>
      </c>
      <c r="G349" s="1">
        <v>0</v>
      </c>
      <c r="H349" s="2">
        <v>0.13100000000000001</v>
      </c>
    </row>
    <row r="350" spans="1:8" s="1" customFormat="1" x14ac:dyDescent="0.35">
      <c r="A350" s="1" t="s">
        <v>595</v>
      </c>
      <c r="B350" s="1" t="s">
        <v>11</v>
      </c>
      <c r="C350" s="3">
        <v>3828</v>
      </c>
      <c r="D350" s="1">
        <v>3</v>
      </c>
      <c r="E350" s="1" t="s">
        <v>245</v>
      </c>
      <c r="F350" s="1">
        <v>0.18</v>
      </c>
      <c r="G350" s="1">
        <v>0</v>
      </c>
      <c r="H350" s="2">
        <v>0.13</v>
      </c>
    </row>
    <row r="351" spans="1:8" s="1" customFormat="1" x14ac:dyDescent="0.35">
      <c r="A351" s="1" t="s">
        <v>596</v>
      </c>
      <c r="B351" s="1" t="s">
        <v>11</v>
      </c>
      <c r="C351" s="1">
        <v>434</v>
      </c>
      <c r="D351" s="1">
        <v>2</v>
      </c>
      <c r="E351" s="1" t="s">
        <v>245</v>
      </c>
      <c r="F351" s="1">
        <v>0.58979999999999999</v>
      </c>
      <c r="G351" s="1">
        <v>0</v>
      </c>
      <c r="H351" s="2">
        <v>0.42599999999999999</v>
      </c>
    </row>
    <row r="352" spans="1:8" s="1" customFormat="1" x14ac:dyDescent="0.35">
      <c r="A352" s="1" t="s">
        <v>597</v>
      </c>
      <c r="B352" s="1" t="s">
        <v>11</v>
      </c>
      <c r="C352" s="1">
        <v>580</v>
      </c>
      <c r="D352" s="1">
        <v>5</v>
      </c>
      <c r="E352" s="1" t="s">
        <v>245</v>
      </c>
      <c r="F352" s="1">
        <v>0.62980000000000003</v>
      </c>
      <c r="G352" s="1">
        <v>0</v>
      </c>
      <c r="H352" s="2">
        <v>0.45500000000000002</v>
      </c>
    </row>
    <row r="353" spans="1:8" s="1" customFormat="1" x14ac:dyDescent="0.35">
      <c r="A353" s="1" t="s">
        <v>598</v>
      </c>
      <c r="B353" s="1" t="s">
        <v>11</v>
      </c>
      <c r="C353" s="3">
        <v>3228</v>
      </c>
      <c r="D353" s="1">
        <v>2</v>
      </c>
      <c r="E353" s="1" t="s">
        <v>599</v>
      </c>
      <c r="F353" s="1">
        <v>0.73670000000000002</v>
      </c>
      <c r="G353" s="1">
        <v>1</v>
      </c>
      <c r="H353" s="2">
        <v>1.206</v>
      </c>
    </row>
    <row r="354" spans="1:8" s="1" customFormat="1" x14ac:dyDescent="0.35">
      <c r="A354" s="1" t="s">
        <v>600</v>
      </c>
      <c r="B354" s="1" t="s">
        <v>11</v>
      </c>
      <c r="C354" s="3">
        <v>1680</v>
      </c>
      <c r="D354" s="1">
        <v>3</v>
      </c>
      <c r="E354" s="1" t="s">
        <v>245</v>
      </c>
      <c r="F354" s="1">
        <v>0.63129999999999997</v>
      </c>
      <c r="G354" s="1">
        <v>0</v>
      </c>
      <c r="H354" s="2">
        <v>0.45600000000000002</v>
      </c>
    </row>
    <row r="355" spans="1:8" s="1" customFormat="1" x14ac:dyDescent="0.35">
      <c r="A355" s="1" t="s">
        <v>601</v>
      </c>
      <c r="B355" s="1" t="s">
        <v>11</v>
      </c>
      <c r="C355" s="1">
        <v>469</v>
      </c>
      <c r="D355" s="1">
        <v>2</v>
      </c>
      <c r="E355" s="1" t="s">
        <v>245</v>
      </c>
      <c r="F355" s="1">
        <v>0.38500000000000001</v>
      </c>
      <c r="G355" s="1">
        <v>0</v>
      </c>
      <c r="H355" s="2">
        <v>0.27800000000000002</v>
      </c>
    </row>
    <row r="356" spans="1:8" s="1" customFormat="1" x14ac:dyDescent="0.35">
      <c r="A356" s="1" t="s">
        <v>602</v>
      </c>
      <c r="B356" s="1" t="s">
        <v>11</v>
      </c>
      <c r="C356" s="1">
        <v>828</v>
      </c>
      <c r="D356" s="1">
        <v>1</v>
      </c>
      <c r="E356" s="1" t="s">
        <v>245</v>
      </c>
      <c r="F356" s="1">
        <v>0.47810000000000002</v>
      </c>
      <c r="G356" s="1">
        <v>0</v>
      </c>
      <c r="H356" s="2">
        <v>0.34499999999999997</v>
      </c>
    </row>
    <row r="357" spans="1:8" s="1" customFormat="1" x14ac:dyDescent="0.35">
      <c r="A357" s="1" t="s">
        <v>603</v>
      </c>
      <c r="B357" s="1" t="s">
        <v>11</v>
      </c>
      <c r="C357" s="1">
        <v>150</v>
      </c>
      <c r="D357" s="1">
        <v>1</v>
      </c>
      <c r="E357" s="1" t="s">
        <v>245</v>
      </c>
      <c r="F357" s="1">
        <v>0.4128</v>
      </c>
      <c r="G357" s="1">
        <v>0</v>
      </c>
      <c r="H357" s="2">
        <v>0.29799999999999999</v>
      </c>
    </row>
    <row r="358" spans="1:8" s="1" customFormat="1" x14ac:dyDescent="0.35">
      <c r="A358" s="1" t="s">
        <v>604</v>
      </c>
      <c r="B358" s="1" t="s">
        <v>11</v>
      </c>
      <c r="C358" s="1">
        <v>159</v>
      </c>
      <c r="D358" s="1">
        <v>2</v>
      </c>
      <c r="E358" s="1" t="s">
        <v>245</v>
      </c>
      <c r="F358" s="1">
        <v>0.51329999999999998</v>
      </c>
      <c r="G358" s="1">
        <v>0</v>
      </c>
      <c r="H358" s="2">
        <v>0.371</v>
      </c>
    </row>
    <row r="359" spans="1:8" s="1" customFormat="1" x14ac:dyDescent="0.35">
      <c r="A359" s="1" t="s">
        <v>605</v>
      </c>
      <c r="B359" s="1" t="s">
        <v>11</v>
      </c>
      <c r="C359" s="1">
        <v>452</v>
      </c>
      <c r="D359" s="1">
        <v>1</v>
      </c>
      <c r="E359" s="1" t="s">
        <v>245</v>
      </c>
      <c r="F359" s="1">
        <v>0.57199999999999995</v>
      </c>
      <c r="G359" s="1">
        <v>0</v>
      </c>
      <c r="H359" s="2">
        <v>0.41299999999999998</v>
      </c>
    </row>
    <row r="360" spans="1:8" s="1" customFormat="1" x14ac:dyDescent="0.35">
      <c r="A360" s="1" t="s">
        <v>606</v>
      </c>
      <c r="B360" s="1" t="s">
        <v>11</v>
      </c>
      <c r="C360" s="1">
        <v>30</v>
      </c>
      <c r="D360" s="1">
        <v>2</v>
      </c>
      <c r="E360" s="1" t="s">
        <v>245</v>
      </c>
      <c r="F360" s="1">
        <v>0.44500000000000001</v>
      </c>
      <c r="G360" s="1">
        <v>0</v>
      </c>
      <c r="H360" s="2">
        <v>0.32200000000000001</v>
      </c>
    </row>
    <row r="361" spans="1:8" s="1" customFormat="1" x14ac:dyDescent="0.35">
      <c r="A361" s="1" t="s">
        <v>607</v>
      </c>
      <c r="B361" s="1" t="s">
        <v>11</v>
      </c>
      <c r="C361" s="3">
        <v>1500</v>
      </c>
      <c r="D361" s="1">
        <v>2</v>
      </c>
      <c r="E361" s="1" t="s">
        <v>245</v>
      </c>
      <c r="F361" s="1">
        <v>0.39140000000000003</v>
      </c>
      <c r="G361" s="1">
        <v>0</v>
      </c>
      <c r="H361" s="2">
        <v>0.28299999999999997</v>
      </c>
    </row>
    <row r="362" spans="1:8" s="1" customFormat="1" x14ac:dyDescent="0.35">
      <c r="A362" s="1" t="s">
        <v>608</v>
      </c>
      <c r="B362" s="1" t="s">
        <v>11</v>
      </c>
      <c r="C362" s="1">
        <v>689</v>
      </c>
      <c r="D362" s="1">
        <v>1</v>
      </c>
      <c r="E362" s="1" t="s">
        <v>245</v>
      </c>
      <c r="F362" s="1">
        <v>0.4662</v>
      </c>
      <c r="G362" s="1">
        <v>0</v>
      </c>
      <c r="H362" s="2">
        <v>0.33700000000000002</v>
      </c>
    </row>
    <row r="363" spans="1:8" s="1" customFormat="1" x14ac:dyDescent="0.35">
      <c r="A363" s="1" t="s">
        <v>609</v>
      </c>
      <c r="B363" s="1" t="s">
        <v>11</v>
      </c>
      <c r="C363" s="1">
        <v>413</v>
      </c>
      <c r="D363" s="1">
        <v>1</v>
      </c>
      <c r="E363" s="1" t="s">
        <v>245</v>
      </c>
      <c r="F363" s="1">
        <v>0.46939999999999998</v>
      </c>
      <c r="G363" s="1">
        <v>0</v>
      </c>
      <c r="H363" s="2">
        <v>0.33900000000000002</v>
      </c>
    </row>
    <row r="364" spans="1:8" s="1" customFormat="1" x14ac:dyDescent="0.35">
      <c r="A364" s="1" t="s">
        <v>610</v>
      </c>
      <c r="B364" s="1" t="s">
        <v>11</v>
      </c>
      <c r="C364" s="3">
        <v>2515</v>
      </c>
      <c r="D364" s="1">
        <v>7</v>
      </c>
      <c r="E364" s="1" t="s">
        <v>245</v>
      </c>
      <c r="F364" s="1">
        <v>0.58819999999999995</v>
      </c>
      <c r="G364" s="1">
        <v>0</v>
      </c>
      <c r="H364" s="2">
        <v>0.42499999999999999</v>
      </c>
    </row>
    <row r="365" spans="1:8" s="1" customFormat="1" x14ac:dyDescent="0.35">
      <c r="A365" s="1" t="s">
        <v>611</v>
      </c>
      <c r="B365" s="1" t="s">
        <v>11</v>
      </c>
      <c r="C365" s="1">
        <v>850</v>
      </c>
      <c r="D365" s="1">
        <v>2</v>
      </c>
      <c r="E365" s="1" t="s">
        <v>245</v>
      </c>
      <c r="F365" s="1">
        <v>0.5605</v>
      </c>
      <c r="G365" s="1">
        <v>0</v>
      </c>
      <c r="H365" s="2">
        <v>0.40500000000000003</v>
      </c>
    </row>
    <row r="366" spans="1:8" s="1" customFormat="1" x14ac:dyDescent="0.35">
      <c r="A366" s="1" t="s">
        <v>612</v>
      </c>
      <c r="B366" s="1" t="s">
        <v>11</v>
      </c>
      <c r="C366" s="1">
        <v>414</v>
      </c>
      <c r="D366" s="1">
        <v>1</v>
      </c>
      <c r="E366" s="1" t="s">
        <v>245</v>
      </c>
      <c r="F366" s="1">
        <v>0.27460000000000001</v>
      </c>
      <c r="G366" s="1">
        <v>0</v>
      </c>
      <c r="H366" s="2">
        <v>0.19800000000000001</v>
      </c>
    </row>
    <row r="367" spans="1:8" s="1" customFormat="1" x14ac:dyDescent="0.35">
      <c r="A367" s="1" t="s">
        <v>613</v>
      </c>
      <c r="B367" s="1" t="s">
        <v>11</v>
      </c>
      <c r="C367" s="1">
        <v>226</v>
      </c>
      <c r="D367" s="1">
        <v>3</v>
      </c>
      <c r="E367" s="1" t="s">
        <v>276</v>
      </c>
      <c r="F367" s="1">
        <v>0.5867</v>
      </c>
      <c r="G367" s="1">
        <v>1</v>
      </c>
      <c r="H367" s="2">
        <v>1.0980000000000001</v>
      </c>
    </row>
    <row r="368" spans="1:8" s="1" customFormat="1" x14ac:dyDescent="0.35">
      <c r="A368" s="1" t="s">
        <v>614</v>
      </c>
      <c r="B368" s="1" t="s">
        <v>11</v>
      </c>
      <c r="C368" s="3">
        <v>5638</v>
      </c>
      <c r="D368" s="1">
        <v>2</v>
      </c>
      <c r="E368" s="1" t="s">
        <v>245</v>
      </c>
      <c r="F368" s="1">
        <v>0.2571</v>
      </c>
      <c r="G368" s="1">
        <v>0</v>
      </c>
      <c r="H368" s="2">
        <v>0.186</v>
      </c>
    </row>
    <row r="369" spans="1:8" s="1" customFormat="1" x14ac:dyDescent="0.35">
      <c r="A369" s="1" t="s">
        <v>615</v>
      </c>
      <c r="B369" s="1" t="s">
        <v>11</v>
      </c>
      <c r="C369" s="1">
        <v>5</v>
      </c>
      <c r="D369" s="1">
        <v>1</v>
      </c>
      <c r="E369" s="1" t="s">
        <v>276</v>
      </c>
      <c r="F369" s="1">
        <v>0.58940000000000003</v>
      </c>
      <c r="G369" s="1">
        <v>1</v>
      </c>
      <c r="H369" s="2">
        <v>1.1000000000000001</v>
      </c>
    </row>
    <row r="370" spans="1:8" s="1" customFormat="1" x14ac:dyDescent="0.35">
      <c r="A370" s="1" t="s">
        <v>616</v>
      </c>
      <c r="B370" s="1" t="s">
        <v>11</v>
      </c>
      <c r="C370" s="1">
        <v>874</v>
      </c>
      <c r="D370" s="1">
        <v>3</v>
      </c>
      <c r="E370" s="1" t="s">
        <v>245</v>
      </c>
      <c r="F370" s="1">
        <v>0.3916</v>
      </c>
      <c r="G370" s="1">
        <v>0</v>
      </c>
      <c r="H370" s="2">
        <v>0.28299999999999997</v>
      </c>
    </row>
    <row r="371" spans="1:8" s="1" customFormat="1" x14ac:dyDescent="0.35">
      <c r="A371" s="1" t="s">
        <v>617</v>
      </c>
      <c r="B371" s="1" t="s">
        <v>11</v>
      </c>
      <c r="C371" s="3">
        <v>1440</v>
      </c>
      <c r="D371" s="1">
        <v>2</v>
      </c>
      <c r="E371" s="1" t="s">
        <v>245</v>
      </c>
      <c r="F371" s="1">
        <v>0.39410000000000001</v>
      </c>
      <c r="G371" s="1">
        <v>0</v>
      </c>
      <c r="H371" s="2">
        <v>0.28499999999999998</v>
      </c>
    </row>
    <row r="372" spans="1:8" s="1" customFormat="1" x14ac:dyDescent="0.35">
      <c r="A372" s="1" t="s">
        <v>618</v>
      </c>
      <c r="B372" s="1" t="s">
        <v>11</v>
      </c>
      <c r="C372" s="1">
        <v>976</v>
      </c>
      <c r="D372" s="1">
        <v>1</v>
      </c>
      <c r="E372" s="1" t="s">
        <v>245</v>
      </c>
      <c r="F372" s="1">
        <v>0.38429999999999997</v>
      </c>
      <c r="G372" s="1">
        <v>0</v>
      </c>
      <c r="H372" s="2">
        <v>0.27800000000000002</v>
      </c>
    </row>
    <row r="373" spans="1:8" s="1" customFormat="1" x14ac:dyDescent="0.35">
      <c r="A373" s="1" t="s">
        <v>619</v>
      </c>
      <c r="B373" s="1" t="s">
        <v>11</v>
      </c>
      <c r="C373" s="1">
        <v>742</v>
      </c>
      <c r="D373" s="1">
        <v>1</v>
      </c>
      <c r="E373" s="1" t="s">
        <v>245</v>
      </c>
      <c r="F373" s="1">
        <v>0.39560000000000001</v>
      </c>
      <c r="G373" s="1">
        <v>0</v>
      </c>
      <c r="H373" s="2">
        <v>0.28599999999999998</v>
      </c>
    </row>
    <row r="374" spans="1:8" s="1" customFormat="1" x14ac:dyDescent="0.35">
      <c r="A374" s="1" t="s">
        <v>620</v>
      </c>
      <c r="B374" s="1" t="s">
        <v>11</v>
      </c>
      <c r="C374" s="1">
        <v>321</v>
      </c>
      <c r="D374" s="1">
        <v>2</v>
      </c>
      <c r="E374" s="1" t="s">
        <v>245</v>
      </c>
      <c r="F374" s="1">
        <v>0.36680000000000001</v>
      </c>
      <c r="G374" s="1">
        <v>0</v>
      </c>
      <c r="H374" s="2">
        <v>0.26500000000000001</v>
      </c>
    </row>
    <row r="375" spans="1:8" s="1" customFormat="1" x14ac:dyDescent="0.35">
      <c r="A375" s="1" t="s">
        <v>621</v>
      </c>
      <c r="B375" s="1" t="s">
        <v>11</v>
      </c>
      <c r="C375" s="1">
        <v>184</v>
      </c>
      <c r="D375" s="1">
        <v>1</v>
      </c>
      <c r="E375" s="1" t="s">
        <v>245</v>
      </c>
      <c r="F375" s="1">
        <v>0.56169999999999998</v>
      </c>
      <c r="G375" s="1">
        <v>0</v>
      </c>
      <c r="H375" s="2">
        <v>0.40600000000000003</v>
      </c>
    </row>
    <row r="376" spans="1:8" s="1" customFormat="1" x14ac:dyDescent="0.35">
      <c r="A376" s="1" t="s">
        <v>622</v>
      </c>
      <c r="B376" s="1" t="s">
        <v>11</v>
      </c>
      <c r="C376" s="1">
        <v>414</v>
      </c>
      <c r="D376" s="1">
        <v>1</v>
      </c>
      <c r="E376" s="1" t="s">
        <v>245</v>
      </c>
      <c r="F376" s="1">
        <v>0.44829999999999998</v>
      </c>
      <c r="G376" s="1">
        <v>0</v>
      </c>
      <c r="H376" s="2">
        <v>0.32400000000000001</v>
      </c>
    </row>
    <row r="377" spans="1:8" s="1" customFormat="1" x14ac:dyDescent="0.35">
      <c r="A377" s="1" t="s">
        <v>623</v>
      </c>
      <c r="B377" s="1" t="s">
        <v>11</v>
      </c>
      <c r="C377" s="3">
        <v>4546</v>
      </c>
      <c r="D377" s="1">
        <v>3</v>
      </c>
      <c r="E377" s="1" t="s">
        <v>245</v>
      </c>
      <c r="F377" s="1">
        <v>0.1807</v>
      </c>
      <c r="G377" s="1">
        <v>0</v>
      </c>
      <c r="H377" s="2">
        <v>0.13100000000000001</v>
      </c>
    </row>
    <row r="378" spans="1:8" s="1" customFormat="1" x14ac:dyDescent="0.35">
      <c r="A378" s="1" t="s">
        <v>13</v>
      </c>
      <c r="B378" s="1" t="s">
        <v>11</v>
      </c>
      <c r="C378" s="1">
        <v>873</v>
      </c>
      <c r="D378" s="1">
        <v>2</v>
      </c>
      <c r="E378" s="1" t="s">
        <v>245</v>
      </c>
      <c r="F378" s="1">
        <v>0.55789999999999995</v>
      </c>
      <c r="G378" s="1">
        <v>0</v>
      </c>
      <c r="H378" s="2">
        <v>0.40300000000000002</v>
      </c>
    </row>
    <row r="379" spans="1:8" s="1" customFormat="1" x14ac:dyDescent="0.35">
      <c r="A379" s="1" t="s">
        <v>624</v>
      </c>
      <c r="B379" s="1" t="s">
        <v>11</v>
      </c>
      <c r="C379" s="1">
        <v>555</v>
      </c>
      <c r="D379" s="1">
        <v>1</v>
      </c>
      <c r="E379" s="1" t="s">
        <v>245</v>
      </c>
      <c r="F379" s="1">
        <v>0.56730000000000003</v>
      </c>
      <c r="G379" s="1">
        <v>0</v>
      </c>
      <c r="H379" s="2">
        <v>0.41</v>
      </c>
    </row>
    <row r="380" spans="1:8" s="1" customFormat="1" x14ac:dyDescent="0.35">
      <c r="A380" s="1" t="s">
        <v>625</v>
      </c>
      <c r="B380" s="1" t="s">
        <v>11</v>
      </c>
      <c r="C380" s="1">
        <v>48</v>
      </c>
      <c r="D380" s="1">
        <v>2</v>
      </c>
      <c r="E380" s="1" t="s">
        <v>245</v>
      </c>
      <c r="F380" s="1">
        <v>0.56140000000000001</v>
      </c>
      <c r="G380" s="1">
        <v>0</v>
      </c>
      <c r="H380" s="2">
        <v>0.40600000000000003</v>
      </c>
    </row>
    <row r="381" spans="1:8" s="1" customFormat="1" x14ac:dyDescent="0.35">
      <c r="A381" s="1" t="s">
        <v>626</v>
      </c>
      <c r="B381" s="1" t="s">
        <v>11</v>
      </c>
      <c r="C381" s="3">
        <v>3181</v>
      </c>
      <c r="D381" s="1">
        <v>1</v>
      </c>
      <c r="E381" s="1" t="s">
        <v>245</v>
      </c>
      <c r="F381" s="1">
        <v>0.60499999999999998</v>
      </c>
      <c r="G381" s="1">
        <v>0</v>
      </c>
      <c r="H381" s="2">
        <v>0.437</v>
      </c>
    </row>
    <row r="382" spans="1:8" s="1" customFormat="1" x14ac:dyDescent="0.35">
      <c r="A382" s="1" t="s">
        <v>627</v>
      </c>
      <c r="B382" s="1" t="s">
        <v>628</v>
      </c>
      <c r="C382" s="1">
        <v>631</v>
      </c>
      <c r="D382" s="1">
        <v>5</v>
      </c>
      <c r="E382" s="1" t="s">
        <v>245</v>
      </c>
      <c r="F382" s="1">
        <v>0.49020000000000002</v>
      </c>
      <c r="G382" s="1">
        <v>0</v>
      </c>
      <c r="H382" s="2">
        <v>0.35399999999999998</v>
      </c>
    </row>
    <row r="383" spans="1:8" s="1" customFormat="1" x14ac:dyDescent="0.35">
      <c r="A383" s="1" t="s">
        <v>629</v>
      </c>
      <c r="B383" s="1" t="s">
        <v>628</v>
      </c>
      <c r="C383" s="1">
        <v>630</v>
      </c>
      <c r="D383" s="1">
        <v>1</v>
      </c>
      <c r="E383" s="1" t="s">
        <v>245</v>
      </c>
      <c r="F383" s="1">
        <v>0.52</v>
      </c>
      <c r="G383" s="1">
        <v>0</v>
      </c>
      <c r="H383" s="2">
        <v>0.376</v>
      </c>
    </row>
    <row r="384" spans="1:8" s="1" customFormat="1" x14ac:dyDescent="0.35">
      <c r="A384" s="1" t="s">
        <v>630</v>
      </c>
      <c r="B384" s="1" t="s">
        <v>628</v>
      </c>
      <c r="C384" s="1">
        <v>599</v>
      </c>
      <c r="D384" s="1">
        <v>1</v>
      </c>
      <c r="E384" s="1" t="s">
        <v>245</v>
      </c>
      <c r="F384" s="1">
        <v>0.53290000000000004</v>
      </c>
      <c r="G384" s="1">
        <v>0</v>
      </c>
      <c r="H384" s="2">
        <v>0.38500000000000001</v>
      </c>
    </row>
    <row r="385" spans="1:8" s="1" customFormat="1" x14ac:dyDescent="0.35">
      <c r="A385" s="1" t="s">
        <v>631</v>
      </c>
      <c r="B385" s="1" t="s">
        <v>628</v>
      </c>
      <c r="C385" s="1">
        <v>236</v>
      </c>
      <c r="D385" s="1">
        <v>1</v>
      </c>
      <c r="E385" s="1" t="s">
        <v>245</v>
      </c>
      <c r="F385" s="1">
        <v>0.52980000000000005</v>
      </c>
      <c r="G385" s="1">
        <v>0</v>
      </c>
      <c r="H385" s="2">
        <v>0.38300000000000001</v>
      </c>
    </row>
    <row r="386" spans="1:8" s="1" customFormat="1" x14ac:dyDescent="0.35">
      <c r="A386" s="1" t="s">
        <v>632</v>
      </c>
      <c r="B386" s="1" t="s">
        <v>628</v>
      </c>
      <c r="C386" s="1">
        <v>191</v>
      </c>
      <c r="D386" s="1">
        <v>1</v>
      </c>
      <c r="E386" s="1" t="s">
        <v>245</v>
      </c>
      <c r="F386" s="1">
        <v>0.51400000000000001</v>
      </c>
      <c r="G386" s="1">
        <v>0</v>
      </c>
      <c r="H386" s="2">
        <v>0.371</v>
      </c>
    </row>
    <row r="387" spans="1:8" s="1" customFormat="1" x14ac:dyDescent="0.35">
      <c r="A387" s="1" t="s">
        <v>633</v>
      </c>
      <c r="B387" s="1" t="s">
        <v>628</v>
      </c>
      <c r="C387" s="1">
        <v>427</v>
      </c>
      <c r="D387" s="1">
        <v>1</v>
      </c>
      <c r="E387" s="1" t="s">
        <v>245</v>
      </c>
      <c r="F387" s="1">
        <v>0.51180000000000003</v>
      </c>
      <c r="G387" s="1">
        <v>0</v>
      </c>
      <c r="H387" s="2">
        <v>0.37</v>
      </c>
    </row>
    <row r="388" spans="1:8" s="1" customFormat="1" x14ac:dyDescent="0.35">
      <c r="A388" s="1" t="s">
        <v>634</v>
      </c>
      <c r="B388" s="1" t="s">
        <v>628</v>
      </c>
      <c r="C388" s="1">
        <v>430</v>
      </c>
      <c r="D388" s="1">
        <v>1</v>
      </c>
      <c r="E388" s="1" t="s">
        <v>245</v>
      </c>
      <c r="F388" s="1">
        <v>0.49959999999999999</v>
      </c>
      <c r="G388" s="1">
        <v>0</v>
      </c>
      <c r="H388" s="2">
        <v>0.36099999999999999</v>
      </c>
    </row>
    <row r="389" spans="1:8" s="1" customFormat="1" x14ac:dyDescent="0.35">
      <c r="A389" s="1" t="s">
        <v>635</v>
      </c>
      <c r="B389" s="1" t="s">
        <v>628</v>
      </c>
      <c r="C389" s="1">
        <v>434</v>
      </c>
      <c r="D389" s="1">
        <v>1</v>
      </c>
      <c r="E389" s="1" t="s">
        <v>245</v>
      </c>
      <c r="F389" s="1">
        <v>0.52859999999999996</v>
      </c>
      <c r="G389" s="1">
        <v>0</v>
      </c>
      <c r="H389" s="2">
        <v>0.38200000000000001</v>
      </c>
    </row>
    <row r="390" spans="1:8" s="1" customFormat="1" x14ac:dyDescent="0.35">
      <c r="A390" s="1" t="s">
        <v>636</v>
      </c>
      <c r="B390" s="1" t="s">
        <v>628</v>
      </c>
      <c r="C390" s="3">
        <v>1019</v>
      </c>
      <c r="D390" s="1">
        <v>1</v>
      </c>
      <c r="E390" s="1" t="s">
        <v>245</v>
      </c>
      <c r="F390" s="1">
        <v>0.65939999999999999</v>
      </c>
      <c r="G390" s="1">
        <v>0</v>
      </c>
      <c r="H390" s="2">
        <v>0.47599999999999998</v>
      </c>
    </row>
    <row r="391" spans="1:8" s="1" customFormat="1" x14ac:dyDescent="0.35">
      <c r="A391" s="1" t="s">
        <v>637</v>
      </c>
      <c r="B391" s="1" t="s">
        <v>628</v>
      </c>
      <c r="C391" s="1">
        <v>807</v>
      </c>
      <c r="D391" s="1">
        <v>1</v>
      </c>
      <c r="E391" s="1" t="s">
        <v>245</v>
      </c>
      <c r="F391" s="1">
        <v>0.73089999999999999</v>
      </c>
      <c r="G391" s="1">
        <v>0</v>
      </c>
      <c r="H391" s="2">
        <v>0.52800000000000002</v>
      </c>
    </row>
    <row r="392" spans="1:8" s="1" customFormat="1" x14ac:dyDescent="0.35">
      <c r="A392" s="1" t="s">
        <v>638</v>
      </c>
      <c r="B392" s="1" t="s">
        <v>628</v>
      </c>
      <c r="C392" s="1">
        <v>292</v>
      </c>
      <c r="D392" s="1">
        <v>1</v>
      </c>
      <c r="E392" s="1" t="s">
        <v>245</v>
      </c>
      <c r="F392" s="1">
        <v>0.67920000000000003</v>
      </c>
      <c r="G392" s="1">
        <v>0</v>
      </c>
      <c r="H392" s="2">
        <v>0.49099999999999999</v>
      </c>
    </row>
    <row r="393" spans="1:8" s="1" customFormat="1" x14ac:dyDescent="0.35">
      <c r="A393" s="1" t="s">
        <v>639</v>
      </c>
      <c r="B393" s="1" t="s">
        <v>628</v>
      </c>
      <c r="C393" s="1">
        <v>90</v>
      </c>
      <c r="D393" s="1">
        <v>1</v>
      </c>
      <c r="E393" s="1" t="s">
        <v>276</v>
      </c>
      <c r="F393" s="1">
        <v>0.82379999999999998</v>
      </c>
      <c r="G393" s="1">
        <v>1</v>
      </c>
      <c r="H393" s="2">
        <v>1.2689999999999999</v>
      </c>
    </row>
    <row r="394" spans="1:8" s="1" customFormat="1" x14ac:dyDescent="0.35">
      <c r="A394" s="1" t="s">
        <v>640</v>
      </c>
      <c r="B394" s="1" t="s">
        <v>628</v>
      </c>
      <c r="C394" s="1">
        <v>381</v>
      </c>
      <c r="D394" s="1">
        <v>1</v>
      </c>
      <c r="E394" s="1" t="s">
        <v>245</v>
      </c>
      <c r="F394" s="1">
        <v>0.49359999999999998</v>
      </c>
      <c r="G394" s="1">
        <v>0</v>
      </c>
      <c r="H394" s="2">
        <v>0.35699999999999998</v>
      </c>
    </row>
    <row r="395" spans="1:8" s="1" customFormat="1" x14ac:dyDescent="0.35">
      <c r="A395" s="1" t="s">
        <v>641</v>
      </c>
      <c r="B395" s="1" t="s">
        <v>628</v>
      </c>
      <c r="C395" s="1">
        <v>456</v>
      </c>
      <c r="D395" s="1">
        <v>3</v>
      </c>
      <c r="E395" s="1" t="s">
        <v>245</v>
      </c>
      <c r="F395" s="1">
        <v>0.51980000000000004</v>
      </c>
      <c r="G395" s="1">
        <v>0</v>
      </c>
      <c r="H395" s="2">
        <v>0.376</v>
      </c>
    </row>
    <row r="396" spans="1:8" s="1" customFormat="1" x14ac:dyDescent="0.35">
      <c r="A396" s="1" t="s">
        <v>642</v>
      </c>
      <c r="B396" s="1" t="s">
        <v>628</v>
      </c>
      <c r="C396" s="1">
        <v>106</v>
      </c>
      <c r="D396" s="1">
        <v>1</v>
      </c>
      <c r="E396" s="1" t="s">
        <v>245</v>
      </c>
      <c r="F396" s="1">
        <v>0.63370000000000004</v>
      </c>
      <c r="G396" s="1">
        <v>0</v>
      </c>
      <c r="H396" s="2">
        <v>0.45800000000000002</v>
      </c>
    </row>
    <row r="397" spans="1:8" s="1" customFormat="1" x14ac:dyDescent="0.35">
      <c r="A397" s="1" t="s">
        <v>643</v>
      </c>
      <c r="B397" s="1" t="s">
        <v>628</v>
      </c>
      <c r="C397" s="1">
        <v>140</v>
      </c>
      <c r="D397" s="1">
        <v>1</v>
      </c>
      <c r="E397" s="1" t="s">
        <v>245</v>
      </c>
      <c r="F397" s="1">
        <v>0.50380000000000003</v>
      </c>
      <c r="G397" s="1">
        <v>0</v>
      </c>
      <c r="H397" s="2">
        <v>0.36399999999999999</v>
      </c>
    </row>
    <row r="398" spans="1:8" s="1" customFormat="1" x14ac:dyDescent="0.35">
      <c r="A398" s="1" t="s">
        <v>644</v>
      </c>
      <c r="B398" s="1" t="s">
        <v>628</v>
      </c>
      <c r="C398" s="1">
        <v>172</v>
      </c>
      <c r="D398" s="1">
        <v>1</v>
      </c>
      <c r="E398" s="1" t="s">
        <v>245</v>
      </c>
      <c r="F398" s="1">
        <v>0.5363</v>
      </c>
      <c r="G398" s="1">
        <v>0</v>
      </c>
      <c r="H398" s="2">
        <v>0.38800000000000001</v>
      </c>
    </row>
    <row r="399" spans="1:8" s="1" customFormat="1" x14ac:dyDescent="0.35">
      <c r="A399" s="1" t="s">
        <v>645</v>
      </c>
      <c r="B399" s="1" t="s">
        <v>628</v>
      </c>
      <c r="C399" s="1">
        <v>197</v>
      </c>
      <c r="D399" s="1">
        <v>1</v>
      </c>
      <c r="E399" s="1" t="s">
        <v>245</v>
      </c>
      <c r="F399" s="1">
        <v>0.53</v>
      </c>
      <c r="G399" s="1">
        <v>0</v>
      </c>
      <c r="H399" s="2">
        <v>0.38300000000000001</v>
      </c>
    </row>
    <row r="400" spans="1:8" s="1" customFormat="1" x14ac:dyDescent="0.35">
      <c r="A400" s="1" t="s">
        <v>646</v>
      </c>
      <c r="B400" s="1" t="s">
        <v>628</v>
      </c>
      <c r="C400" s="1">
        <v>118</v>
      </c>
      <c r="D400" s="1">
        <v>1</v>
      </c>
      <c r="E400" s="1" t="s">
        <v>245</v>
      </c>
      <c r="F400" s="1">
        <v>0.49080000000000001</v>
      </c>
      <c r="G400" s="1">
        <v>0</v>
      </c>
      <c r="H400" s="2">
        <v>0.35499999999999998</v>
      </c>
    </row>
    <row r="401" spans="1:8" s="1" customFormat="1" x14ac:dyDescent="0.35">
      <c r="A401" s="1" t="s">
        <v>647</v>
      </c>
      <c r="B401" s="1" t="s">
        <v>628</v>
      </c>
      <c r="C401" s="3">
        <v>1855</v>
      </c>
      <c r="D401" s="1">
        <v>1</v>
      </c>
      <c r="E401" s="1" t="s">
        <v>245</v>
      </c>
      <c r="F401" s="1">
        <v>0.1111</v>
      </c>
      <c r="G401" s="1">
        <v>0</v>
      </c>
      <c r="H401" s="2">
        <v>0.08</v>
      </c>
    </row>
    <row r="402" spans="1:8" s="1" customFormat="1" x14ac:dyDescent="0.35">
      <c r="A402" s="1" t="s">
        <v>648</v>
      </c>
      <c r="B402" s="1" t="s">
        <v>628</v>
      </c>
      <c r="C402" s="3">
        <v>1662</v>
      </c>
      <c r="D402" s="1">
        <v>2</v>
      </c>
      <c r="E402" s="1" t="s">
        <v>245</v>
      </c>
      <c r="F402" s="1">
        <v>0.1208</v>
      </c>
      <c r="G402" s="1">
        <v>0</v>
      </c>
      <c r="H402" s="2">
        <v>8.6999999999999994E-2</v>
      </c>
    </row>
    <row r="403" spans="1:8" s="1" customFormat="1" x14ac:dyDescent="0.35">
      <c r="A403" s="1" t="s">
        <v>649</v>
      </c>
      <c r="B403" s="1" t="s">
        <v>628</v>
      </c>
      <c r="C403" s="1">
        <v>692</v>
      </c>
      <c r="D403" s="1">
        <v>2</v>
      </c>
      <c r="E403" s="1" t="s">
        <v>245</v>
      </c>
      <c r="F403" s="1">
        <v>0.23</v>
      </c>
      <c r="G403" s="1">
        <v>0</v>
      </c>
      <c r="H403" s="2">
        <v>0.16600000000000001</v>
      </c>
    </row>
    <row r="404" spans="1:8" s="1" customFormat="1" x14ac:dyDescent="0.35">
      <c r="A404" s="1" t="s">
        <v>650</v>
      </c>
      <c r="B404" s="1" t="s">
        <v>628</v>
      </c>
      <c r="C404" s="1">
        <v>202</v>
      </c>
      <c r="D404" s="1">
        <v>1</v>
      </c>
      <c r="E404" s="1" t="s">
        <v>245</v>
      </c>
      <c r="F404" s="1">
        <v>0.29870000000000002</v>
      </c>
      <c r="G404" s="1">
        <v>0</v>
      </c>
      <c r="H404" s="2">
        <v>0.216</v>
      </c>
    </row>
    <row r="405" spans="1:8" s="1" customFormat="1" x14ac:dyDescent="0.35">
      <c r="A405" s="1" t="s">
        <v>651</v>
      </c>
      <c r="B405" s="1" t="s">
        <v>628</v>
      </c>
      <c r="C405" s="1">
        <v>64</v>
      </c>
      <c r="D405" s="1">
        <v>2</v>
      </c>
      <c r="E405" s="1" t="s">
        <v>245</v>
      </c>
      <c r="F405" s="1">
        <v>0.44190000000000002</v>
      </c>
      <c r="G405" s="1">
        <v>0</v>
      </c>
      <c r="H405" s="2">
        <v>0.31900000000000001</v>
      </c>
    </row>
    <row r="406" spans="1:8" s="1" customFormat="1" x14ac:dyDescent="0.35">
      <c r="A406" s="1" t="s">
        <v>652</v>
      </c>
      <c r="B406" s="1" t="s">
        <v>628</v>
      </c>
      <c r="C406" s="1">
        <v>707</v>
      </c>
      <c r="D406" s="1">
        <v>1</v>
      </c>
      <c r="E406" s="1" t="s">
        <v>245</v>
      </c>
      <c r="F406" s="1">
        <v>0.40039999999999998</v>
      </c>
      <c r="G406" s="1">
        <v>0</v>
      </c>
      <c r="H406" s="2">
        <v>0.28899999999999998</v>
      </c>
    </row>
    <row r="407" spans="1:8" s="1" customFormat="1" x14ac:dyDescent="0.35">
      <c r="A407" s="1" t="s">
        <v>653</v>
      </c>
      <c r="B407" s="1" t="s">
        <v>628</v>
      </c>
      <c r="C407" s="3">
        <v>4068</v>
      </c>
      <c r="D407" s="1">
        <v>10</v>
      </c>
      <c r="E407" s="1" t="s">
        <v>245</v>
      </c>
      <c r="F407" s="1">
        <v>0.125</v>
      </c>
      <c r="G407" s="1">
        <v>0</v>
      </c>
      <c r="H407" s="2">
        <v>0.09</v>
      </c>
    </row>
    <row r="408" spans="1:8" s="1" customFormat="1" x14ac:dyDescent="0.35">
      <c r="A408" s="1" t="s">
        <v>654</v>
      </c>
      <c r="B408" s="1" t="s">
        <v>628</v>
      </c>
      <c r="C408" s="1">
        <v>132</v>
      </c>
      <c r="D408" s="1">
        <v>1</v>
      </c>
      <c r="E408" s="1" t="s">
        <v>245</v>
      </c>
      <c r="F408" s="1">
        <v>0.51359999999999995</v>
      </c>
      <c r="G408" s="1">
        <v>0</v>
      </c>
      <c r="H408" s="2">
        <v>0.371</v>
      </c>
    </row>
    <row r="409" spans="1:8" s="1" customFormat="1" x14ac:dyDescent="0.35">
      <c r="A409" s="1" t="s">
        <v>655</v>
      </c>
      <c r="B409" s="1" t="s">
        <v>628</v>
      </c>
      <c r="C409" s="3">
        <v>1423</v>
      </c>
      <c r="D409" s="1">
        <v>2</v>
      </c>
      <c r="E409" s="1" t="s">
        <v>245</v>
      </c>
      <c r="F409" s="1">
        <v>0.22559999999999999</v>
      </c>
      <c r="G409" s="1">
        <v>0</v>
      </c>
      <c r="H409" s="2">
        <v>0.16300000000000001</v>
      </c>
    </row>
    <row r="410" spans="1:8" s="1" customFormat="1" x14ac:dyDescent="0.35">
      <c r="A410" s="1" t="s">
        <v>656</v>
      </c>
      <c r="B410" s="1" t="s">
        <v>628</v>
      </c>
      <c r="C410" s="1">
        <v>15</v>
      </c>
      <c r="D410" s="1">
        <v>1</v>
      </c>
      <c r="E410" s="1" t="s">
        <v>245</v>
      </c>
      <c r="F410" s="1">
        <v>0.14779999999999999</v>
      </c>
      <c r="G410" s="1">
        <v>0</v>
      </c>
      <c r="H410" s="2">
        <v>0.107</v>
      </c>
    </row>
    <row r="411" spans="1:8" s="1" customFormat="1" x14ac:dyDescent="0.35">
      <c r="A411" s="1" t="s">
        <v>657</v>
      </c>
      <c r="B411" s="1" t="s">
        <v>628</v>
      </c>
      <c r="C411" s="1">
        <v>537</v>
      </c>
      <c r="D411" s="1">
        <v>1</v>
      </c>
      <c r="E411" s="1" t="s">
        <v>245</v>
      </c>
      <c r="F411" s="1">
        <v>0.18970000000000001</v>
      </c>
      <c r="G411" s="1">
        <v>0</v>
      </c>
      <c r="H411" s="2">
        <v>0.13700000000000001</v>
      </c>
    </row>
    <row r="412" spans="1:8" s="1" customFormat="1" x14ac:dyDescent="0.35">
      <c r="A412" s="1" t="s">
        <v>658</v>
      </c>
      <c r="B412" s="1" t="s">
        <v>628</v>
      </c>
      <c r="C412" s="1">
        <v>54</v>
      </c>
      <c r="D412" s="1">
        <v>2</v>
      </c>
      <c r="E412" s="1" t="s">
        <v>245</v>
      </c>
      <c r="F412" s="1">
        <v>8.43E-2</v>
      </c>
      <c r="G412" s="1">
        <v>0</v>
      </c>
      <c r="H412" s="2">
        <v>6.0999999999999999E-2</v>
      </c>
    </row>
    <row r="413" spans="1:8" s="1" customFormat="1" x14ac:dyDescent="0.35">
      <c r="A413" s="1" t="s">
        <v>659</v>
      </c>
      <c r="B413" s="1" t="s">
        <v>628</v>
      </c>
      <c r="C413" s="1">
        <v>67</v>
      </c>
      <c r="D413" s="1">
        <v>2</v>
      </c>
      <c r="E413" s="1" t="s">
        <v>245</v>
      </c>
      <c r="F413" s="1">
        <v>0.72299999999999998</v>
      </c>
      <c r="G413" s="1">
        <v>0</v>
      </c>
      <c r="H413" s="2">
        <v>0.52200000000000002</v>
      </c>
    </row>
    <row r="414" spans="1:8" s="1" customFormat="1" x14ac:dyDescent="0.35">
      <c r="A414" s="1" t="s">
        <v>660</v>
      </c>
      <c r="B414" s="1" t="s">
        <v>628</v>
      </c>
      <c r="C414" s="1">
        <v>85</v>
      </c>
      <c r="D414" s="1">
        <v>1</v>
      </c>
      <c r="E414" s="1" t="s">
        <v>245</v>
      </c>
      <c r="F414" s="1">
        <v>0.58940000000000003</v>
      </c>
      <c r="G414" s="1">
        <v>0</v>
      </c>
      <c r="H414" s="2">
        <v>0.42599999999999999</v>
      </c>
    </row>
    <row r="415" spans="1:8" s="1" customFormat="1" x14ac:dyDescent="0.35">
      <c r="A415" s="1" t="s">
        <v>661</v>
      </c>
      <c r="B415" s="1" t="s">
        <v>628</v>
      </c>
      <c r="C415" s="1">
        <v>351</v>
      </c>
      <c r="D415" s="1">
        <v>3</v>
      </c>
      <c r="E415" s="1" t="s">
        <v>245</v>
      </c>
      <c r="F415" s="1">
        <v>0.12230000000000001</v>
      </c>
      <c r="G415" s="1">
        <v>0</v>
      </c>
      <c r="H415" s="2">
        <v>8.7999999999999995E-2</v>
      </c>
    </row>
    <row r="416" spans="1:8" s="1" customFormat="1" x14ac:dyDescent="0.35">
      <c r="A416" s="1" t="s">
        <v>662</v>
      </c>
      <c r="B416" s="1" t="s">
        <v>628</v>
      </c>
      <c r="C416" s="1">
        <v>94</v>
      </c>
      <c r="D416" s="1">
        <v>3</v>
      </c>
      <c r="E416" s="1" t="s">
        <v>245</v>
      </c>
      <c r="F416" s="1">
        <v>0.1178</v>
      </c>
      <c r="G416" s="1">
        <v>0</v>
      </c>
      <c r="H416" s="2">
        <v>8.5000000000000006E-2</v>
      </c>
    </row>
    <row r="417" spans="1:8" s="1" customFormat="1" x14ac:dyDescent="0.35">
      <c r="A417" s="1" t="s">
        <v>663</v>
      </c>
      <c r="B417" s="1" t="s">
        <v>628</v>
      </c>
      <c r="C417" s="1">
        <v>581</v>
      </c>
      <c r="D417" s="1">
        <v>2</v>
      </c>
      <c r="E417" s="1" t="s">
        <v>245</v>
      </c>
      <c r="F417" s="1">
        <v>0.1348</v>
      </c>
      <c r="G417" s="1">
        <v>0</v>
      </c>
      <c r="H417" s="2">
        <v>9.7000000000000003E-2</v>
      </c>
    </row>
    <row r="418" spans="1:8" s="1" customFormat="1" x14ac:dyDescent="0.35">
      <c r="A418" s="1" t="s">
        <v>664</v>
      </c>
      <c r="B418" s="1" t="s">
        <v>628</v>
      </c>
      <c r="C418" s="3">
        <v>631486</v>
      </c>
      <c r="D418" s="1">
        <v>1</v>
      </c>
      <c r="E418" s="1" t="s">
        <v>245</v>
      </c>
      <c r="F418" s="1">
        <v>0.1203</v>
      </c>
      <c r="G418" s="1">
        <v>0</v>
      </c>
      <c r="H418" s="2">
        <v>8.6999999999999994E-2</v>
      </c>
    </row>
    <row r="419" spans="1:8" s="1" customFormat="1" x14ac:dyDescent="0.35">
      <c r="A419" s="1" t="s">
        <v>665</v>
      </c>
      <c r="B419" s="1" t="s">
        <v>628</v>
      </c>
      <c r="C419" s="1">
        <v>90</v>
      </c>
      <c r="D419" s="1">
        <v>3</v>
      </c>
      <c r="E419" s="1" t="s">
        <v>245</v>
      </c>
      <c r="F419" s="1">
        <v>0.5252</v>
      </c>
      <c r="G419" s="1">
        <v>0</v>
      </c>
      <c r="H419" s="2">
        <v>0.38</v>
      </c>
    </row>
    <row r="420" spans="1:8" s="1" customFormat="1" x14ac:dyDescent="0.35">
      <c r="A420" s="1" t="s">
        <v>666</v>
      </c>
      <c r="B420" s="1" t="s">
        <v>628</v>
      </c>
      <c r="C420" s="1">
        <v>126</v>
      </c>
      <c r="D420" s="1">
        <v>2</v>
      </c>
      <c r="E420" s="1" t="s">
        <v>245</v>
      </c>
      <c r="F420" s="1">
        <v>0.17449999999999999</v>
      </c>
      <c r="G420" s="1">
        <v>0</v>
      </c>
      <c r="H420" s="2">
        <v>0.126</v>
      </c>
    </row>
    <row r="421" spans="1:8" s="1" customFormat="1" x14ac:dyDescent="0.35">
      <c r="A421" s="1" t="s">
        <v>667</v>
      </c>
      <c r="B421" s="1" t="s">
        <v>628</v>
      </c>
      <c r="C421" s="1">
        <v>120</v>
      </c>
      <c r="D421" s="1">
        <v>1</v>
      </c>
      <c r="E421" s="1" t="s">
        <v>245</v>
      </c>
      <c r="F421" s="1">
        <v>0.10680000000000001</v>
      </c>
      <c r="G421" s="1">
        <v>0</v>
      </c>
      <c r="H421" s="2">
        <v>7.6999999999999999E-2</v>
      </c>
    </row>
    <row r="422" spans="1:8" s="1" customFormat="1" x14ac:dyDescent="0.35">
      <c r="A422" s="1" t="s">
        <v>668</v>
      </c>
      <c r="B422" s="1" t="s">
        <v>628</v>
      </c>
      <c r="C422" s="1">
        <v>84</v>
      </c>
      <c r="D422" s="1">
        <v>1</v>
      </c>
      <c r="E422" s="1" t="s">
        <v>245</v>
      </c>
      <c r="F422" s="1">
        <v>0.14779999999999999</v>
      </c>
      <c r="G422" s="1">
        <v>0</v>
      </c>
      <c r="H422" s="2">
        <v>0.107</v>
      </c>
    </row>
    <row r="423" spans="1:8" s="1" customFormat="1" x14ac:dyDescent="0.35">
      <c r="A423" s="1" t="s">
        <v>669</v>
      </c>
      <c r="B423" s="1" t="s">
        <v>628</v>
      </c>
      <c r="C423" s="1">
        <v>841</v>
      </c>
      <c r="D423" s="1">
        <v>1</v>
      </c>
      <c r="E423" s="1" t="s">
        <v>245</v>
      </c>
      <c r="F423" s="1">
        <v>0.1527</v>
      </c>
      <c r="G423" s="1">
        <v>0</v>
      </c>
      <c r="H423" s="2">
        <v>0.11</v>
      </c>
    </row>
    <row r="424" spans="1:8" s="1" customFormat="1" x14ac:dyDescent="0.35">
      <c r="A424" s="1" t="s">
        <v>670</v>
      </c>
      <c r="B424" s="1" t="s">
        <v>628</v>
      </c>
      <c r="C424" s="1">
        <v>247</v>
      </c>
      <c r="D424" s="1">
        <v>1</v>
      </c>
      <c r="E424" s="1" t="s">
        <v>245</v>
      </c>
      <c r="F424" s="1">
        <v>0.158</v>
      </c>
      <c r="G424" s="1">
        <v>0</v>
      </c>
      <c r="H424" s="2">
        <v>0.114</v>
      </c>
    </row>
    <row r="425" spans="1:8" s="1" customFormat="1" x14ac:dyDescent="0.35">
      <c r="A425" s="1" t="s">
        <v>671</v>
      </c>
      <c r="B425" s="1" t="s">
        <v>628</v>
      </c>
      <c r="C425" s="1">
        <v>212</v>
      </c>
      <c r="D425" s="1">
        <v>4</v>
      </c>
      <c r="E425" s="1" t="s">
        <v>245</v>
      </c>
      <c r="F425" s="1">
        <v>0.153</v>
      </c>
      <c r="G425" s="1">
        <v>0</v>
      </c>
      <c r="H425" s="2">
        <v>0.111</v>
      </c>
    </row>
    <row r="426" spans="1:8" s="1" customFormat="1" x14ac:dyDescent="0.35">
      <c r="A426" s="1" t="s">
        <v>672</v>
      </c>
      <c r="B426" s="1" t="s">
        <v>628</v>
      </c>
      <c r="C426" s="1">
        <v>136</v>
      </c>
      <c r="D426" s="1">
        <v>1</v>
      </c>
      <c r="E426" s="1" t="s">
        <v>245</v>
      </c>
      <c r="F426" s="1">
        <v>0.1477</v>
      </c>
      <c r="G426" s="1">
        <v>0</v>
      </c>
      <c r="H426" s="2">
        <v>0.107</v>
      </c>
    </row>
    <row r="427" spans="1:8" s="1" customFormat="1" x14ac:dyDescent="0.35">
      <c r="A427" s="1" t="s">
        <v>673</v>
      </c>
      <c r="B427" s="1" t="s">
        <v>628</v>
      </c>
      <c r="C427" s="3">
        <v>2358</v>
      </c>
      <c r="D427" s="1">
        <v>1</v>
      </c>
      <c r="E427" s="1" t="s">
        <v>245</v>
      </c>
      <c r="F427" s="1">
        <v>0.1578</v>
      </c>
      <c r="G427" s="1">
        <v>0</v>
      </c>
      <c r="H427" s="2">
        <v>0.114</v>
      </c>
    </row>
    <row r="428" spans="1:8" s="1" customFormat="1" x14ac:dyDescent="0.35">
      <c r="A428" s="1" t="s">
        <v>674</v>
      </c>
      <c r="B428" s="1" t="s">
        <v>628</v>
      </c>
      <c r="C428" s="1">
        <v>44</v>
      </c>
      <c r="D428" s="1">
        <v>1</v>
      </c>
      <c r="E428" s="1" t="s">
        <v>245</v>
      </c>
      <c r="F428" s="1">
        <v>0.153</v>
      </c>
      <c r="G428" s="1">
        <v>0</v>
      </c>
      <c r="H428" s="2">
        <v>0.111</v>
      </c>
    </row>
    <row r="429" spans="1:8" s="1" customFormat="1" x14ac:dyDescent="0.35">
      <c r="A429" s="1" t="s">
        <v>675</v>
      </c>
      <c r="B429" s="1" t="s">
        <v>628</v>
      </c>
      <c r="C429" s="1">
        <v>816</v>
      </c>
      <c r="D429" s="1">
        <v>1</v>
      </c>
      <c r="E429" s="1" t="s">
        <v>245</v>
      </c>
      <c r="F429" s="1">
        <v>0.11650000000000001</v>
      </c>
      <c r="G429" s="1">
        <v>0</v>
      </c>
      <c r="H429" s="2">
        <v>8.4000000000000005E-2</v>
      </c>
    </row>
    <row r="430" spans="1:8" s="1" customFormat="1" x14ac:dyDescent="0.35">
      <c r="A430" s="1" t="s">
        <v>676</v>
      </c>
      <c r="B430" s="1" t="s">
        <v>628</v>
      </c>
      <c r="C430" s="1">
        <v>178</v>
      </c>
      <c r="D430" s="1">
        <v>1</v>
      </c>
      <c r="E430" s="1" t="s">
        <v>245</v>
      </c>
      <c r="F430" s="1">
        <v>0.13639999999999999</v>
      </c>
      <c r="G430" s="1">
        <v>0</v>
      </c>
      <c r="H430" s="2">
        <v>9.9000000000000005E-2</v>
      </c>
    </row>
    <row r="431" spans="1:8" s="1" customFormat="1" x14ac:dyDescent="0.35">
      <c r="A431" s="1" t="s">
        <v>677</v>
      </c>
      <c r="B431" s="1" t="s">
        <v>628</v>
      </c>
      <c r="C431" s="1">
        <v>690</v>
      </c>
      <c r="D431" s="1">
        <v>3</v>
      </c>
      <c r="E431" s="1" t="s">
        <v>245</v>
      </c>
      <c r="F431" s="1">
        <v>0.16769999999999999</v>
      </c>
      <c r="G431" s="1">
        <v>0</v>
      </c>
      <c r="H431" s="2">
        <v>0.121</v>
      </c>
    </row>
    <row r="432" spans="1:8" s="1" customFormat="1" x14ac:dyDescent="0.35">
      <c r="A432" s="1" t="s">
        <v>678</v>
      </c>
      <c r="B432" s="1" t="s">
        <v>628</v>
      </c>
      <c r="C432" s="1">
        <v>324</v>
      </c>
      <c r="D432" s="1">
        <v>1</v>
      </c>
      <c r="E432" s="1" t="s">
        <v>245</v>
      </c>
      <c r="F432" s="1">
        <v>0.14779999999999999</v>
      </c>
      <c r="G432" s="1">
        <v>0</v>
      </c>
      <c r="H432" s="2">
        <v>0.107</v>
      </c>
    </row>
    <row r="433" spans="1:8" s="1" customFormat="1" x14ac:dyDescent="0.35">
      <c r="A433" s="1" t="s">
        <v>679</v>
      </c>
      <c r="B433" s="1" t="s">
        <v>628</v>
      </c>
      <c r="C433" s="1">
        <v>767</v>
      </c>
      <c r="D433" s="1">
        <v>1</v>
      </c>
      <c r="E433" s="1" t="s">
        <v>245</v>
      </c>
      <c r="F433" s="1">
        <v>0.1636</v>
      </c>
      <c r="G433" s="1">
        <v>0</v>
      </c>
      <c r="H433" s="2">
        <v>0.11799999999999999</v>
      </c>
    </row>
    <row r="434" spans="1:8" s="1" customFormat="1" x14ac:dyDescent="0.35">
      <c r="A434" s="1" t="s">
        <v>680</v>
      </c>
      <c r="B434" s="1" t="s">
        <v>628</v>
      </c>
      <c r="C434" s="1">
        <v>0</v>
      </c>
      <c r="D434" s="1">
        <v>1</v>
      </c>
      <c r="E434" s="1" t="s">
        <v>394</v>
      </c>
      <c r="F434" s="1">
        <v>0.17610000000000001</v>
      </c>
      <c r="G434" s="1">
        <v>1</v>
      </c>
      <c r="H434" s="2">
        <v>0.80100000000000005</v>
      </c>
    </row>
    <row r="435" spans="1:8" s="1" customFormat="1" x14ac:dyDescent="0.35">
      <c r="A435" s="1" t="s">
        <v>681</v>
      </c>
      <c r="B435" s="1" t="s">
        <v>628</v>
      </c>
      <c r="C435" s="1">
        <v>317</v>
      </c>
      <c r="D435" s="1">
        <v>2</v>
      </c>
      <c r="E435" s="1" t="s">
        <v>245</v>
      </c>
      <c r="F435" s="1">
        <v>0.1787</v>
      </c>
      <c r="G435" s="1">
        <v>0</v>
      </c>
      <c r="H435" s="2">
        <v>0.129</v>
      </c>
    </row>
    <row r="436" spans="1:8" s="1" customFormat="1" x14ac:dyDescent="0.35">
      <c r="A436" s="1" t="s">
        <v>682</v>
      </c>
      <c r="B436" s="1" t="s">
        <v>628</v>
      </c>
      <c r="C436" s="1">
        <v>225</v>
      </c>
      <c r="D436" s="1">
        <v>2</v>
      </c>
      <c r="E436" s="1" t="s">
        <v>245</v>
      </c>
      <c r="F436" s="1">
        <v>0.1573</v>
      </c>
      <c r="G436" s="1">
        <v>0</v>
      </c>
      <c r="H436" s="2">
        <v>0.114</v>
      </c>
    </row>
    <row r="437" spans="1:8" s="1" customFormat="1" x14ac:dyDescent="0.35">
      <c r="A437" s="1" t="s">
        <v>683</v>
      </c>
      <c r="B437" s="1" t="s">
        <v>628</v>
      </c>
      <c r="C437" s="1">
        <v>10</v>
      </c>
      <c r="D437" s="1">
        <v>1</v>
      </c>
      <c r="E437" s="1" t="s">
        <v>245</v>
      </c>
      <c r="F437" s="1">
        <v>0.1565</v>
      </c>
      <c r="G437" s="1">
        <v>0</v>
      </c>
      <c r="H437" s="2">
        <v>0.113</v>
      </c>
    </row>
    <row r="438" spans="1:8" s="1" customFormat="1" x14ac:dyDescent="0.35">
      <c r="A438" s="1" t="s">
        <v>684</v>
      </c>
      <c r="B438" s="1" t="s">
        <v>628</v>
      </c>
      <c r="C438" s="1">
        <v>30</v>
      </c>
      <c r="D438" s="1">
        <v>1</v>
      </c>
      <c r="E438" s="1" t="s">
        <v>245</v>
      </c>
      <c r="F438" s="1">
        <v>0.16350000000000001</v>
      </c>
      <c r="G438" s="1">
        <v>0</v>
      </c>
      <c r="H438" s="2">
        <v>0.11799999999999999</v>
      </c>
    </row>
    <row r="439" spans="1:8" s="1" customFormat="1" x14ac:dyDescent="0.35">
      <c r="A439" s="1" t="s">
        <v>685</v>
      </c>
      <c r="B439" s="1" t="s">
        <v>628</v>
      </c>
      <c r="C439" s="1">
        <v>90</v>
      </c>
      <c r="D439" s="1">
        <v>1</v>
      </c>
      <c r="E439" s="1" t="s">
        <v>245</v>
      </c>
      <c r="F439" s="1">
        <v>0.16880000000000001</v>
      </c>
      <c r="G439" s="1">
        <v>0</v>
      </c>
      <c r="H439" s="2">
        <v>0.122</v>
      </c>
    </row>
    <row r="440" spans="1:8" s="1" customFormat="1" x14ac:dyDescent="0.35">
      <c r="A440" s="1" t="s">
        <v>686</v>
      </c>
      <c r="B440" s="1" t="s">
        <v>628</v>
      </c>
      <c r="C440" s="1">
        <v>5</v>
      </c>
      <c r="D440" s="1">
        <v>1</v>
      </c>
      <c r="E440" s="1" t="s">
        <v>245</v>
      </c>
      <c r="F440" s="1">
        <v>0.18160000000000001</v>
      </c>
      <c r="G440" s="1">
        <v>0</v>
      </c>
      <c r="H440" s="2">
        <v>0.13100000000000001</v>
      </c>
    </row>
    <row r="441" spans="1:8" s="1" customFormat="1" x14ac:dyDescent="0.35">
      <c r="A441" s="1" t="s">
        <v>687</v>
      </c>
      <c r="B441" s="1" t="s">
        <v>628</v>
      </c>
      <c r="C441" s="1">
        <v>99</v>
      </c>
      <c r="D441" s="1">
        <v>4</v>
      </c>
      <c r="E441" s="1" t="s">
        <v>245</v>
      </c>
      <c r="F441" s="1">
        <v>0.18440000000000001</v>
      </c>
      <c r="G441" s="1">
        <v>0</v>
      </c>
      <c r="H441" s="2">
        <v>0.13300000000000001</v>
      </c>
    </row>
    <row r="442" spans="1:8" s="1" customFormat="1" x14ac:dyDescent="0.35">
      <c r="A442" s="1" t="s">
        <v>688</v>
      </c>
      <c r="B442" s="1" t="s">
        <v>628</v>
      </c>
      <c r="C442" s="1">
        <v>241</v>
      </c>
      <c r="D442" s="1">
        <v>1</v>
      </c>
      <c r="E442" s="1" t="s">
        <v>245</v>
      </c>
      <c r="F442" s="1">
        <v>0.53459999999999996</v>
      </c>
      <c r="G442" s="1">
        <v>0</v>
      </c>
      <c r="H442" s="2">
        <v>0.38600000000000001</v>
      </c>
    </row>
    <row r="443" spans="1:8" s="1" customFormat="1" x14ac:dyDescent="0.35">
      <c r="A443" s="1" t="s">
        <v>689</v>
      </c>
      <c r="B443" s="1" t="s">
        <v>628</v>
      </c>
      <c r="C443" s="1">
        <v>111</v>
      </c>
      <c r="D443" s="1">
        <v>2</v>
      </c>
      <c r="E443" s="1" t="s">
        <v>245</v>
      </c>
      <c r="F443" s="1">
        <v>0.42209999999999998</v>
      </c>
      <c r="G443" s="1">
        <v>0</v>
      </c>
      <c r="H443" s="2">
        <v>0.30499999999999999</v>
      </c>
    </row>
    <row r="444" spans="1:8" s="1" customFormat="1" x14ac:dyDescent="0.35">
      <c r="A444" s="1" t="s">
        <v>690</v>
      </c>
      <c r="B444" s="1" t="s">
        <v>628</v>
      </c>
      <c r="C444" s="1">
        <v>279</v>
      </c>
      <c r="D444" s="1">
        <v>8</v>
      </c>
      <c r="E444" s="1" t="s">
        <v>245</v>
      </c>
      <c r="F444" s="1">
        <v>0.4249</v>
      </c>
      <c r="G444" s="1">
        <v>0</v>
      </c>
      <c r="H444" s="2">
        <v>0.307</v>
      </c>
    </row>
    <row r="445" spans="1:8" s="1" customFormat="1" x14ac:dyDescent="0.35">
      <c r="A445" s="1" t="s">
        <v>691</v>
      </c>
      <c r="B445" s="1" t="s">
        <v>628</v>
      </c>
      <c r="C445" s="1">
        <v>274</v>
      </c>
      <c r="D445" s="1">
        <v>4</v>
      </c>
      <c r="E445" s="1" t="s">
        <v>245</v>
      </c>
      <c r="F445" s="1">
        <v>0.42809999999999998</v>
      </c>
      <c r="G445" s="1">
        <v>0</v>
      </c>
      <c r="H445" s="2">
        <v>0.309</v>
      </c>
    </row>
    <row r="446" spans="1:8" s="1" customFormat="1" x14ac:dyDescent="0.35">
      <c r="A446" s="1" t="s">
        <v>692</v>
      </c>
      <c r="B446" s="1" t="s">
        <v>628</v>
      </c>
      <c r="C446" s="1">
        <v>136</v>
      </c>
      <c r="D446" s="1">
        <v>2</v>
      </c>
      <c r="E446" s="1" t="s">
        <v>245</v>
      </c>
      <c r="F446" s="1">
        <v>0.41349999999999998</v>
      </c>
      <c r="G446" s="1">
        <v>0</v>
      </c>
      <c r="H446" s="2">
        <v>0.29899999999999999</v>
      </c>
    </row>
    <row r="447" spans="1:8" s="1" customFormat="1" x14ac:dyDescent="0.35">
      <c r="A447" s="1" t="s">
        <v>693</v>
      </c>
      <c r="B447" s="1" t="s">
        <v>628</v>
      </c>
      <c r="C447" s="1">
        <v>220</v>
      </c>
      <c r="D447" s="1">
        <v>3</v>
      </c>
      <c r="E447" s="1" t="s">
        <v>245</v>
      </c>
      <c r="F447" s="1">
        <v>0.66890000000000005</v>
      </c>
      <c r="G447" s="1">
        <v>0</v>
      </c>
      <c r="H447" s="2">
        <v>0.48299999999999998</v>
      </c>
    </row>
    <row r="448" spans="1:8" s="1" customFormat="1" x14ac:dyDescent="0.35">
      <c r="A448" s="1" t="s">
        <v>694</v>
      </c>
      <c r="B448" s="1" t="s">
        <v>628</v>
      </c>
      <c r="C448" s="1">
        <v>762</v>
      </c>
      <c r="D448" s="1">
        <v>1</v>
      </c>
      <c r="E448" s="1" t="s">
        <v>245</v>
      </c>
      <c r="F448" s="1">
        <v>0.31929999999999997</v>
      </c>
      <c r="G448" s="1">
        <v>0</v>
      </c>
      <c r="H448" s="2">
        <v>0.23100000000000001</v>
      </c>
    </row>
    <row r="449" spans="1:8" s="1" customFormat="1" x14ac:dyDescent="0.35">
      <c r="A449" s="1" t="s">
        <v>695</v>
      </c>
      <c r="B449" s="1" t="s">
        <v>628</v>
      </c>
      <c r="C449" s="3">
        <v>1783</v>
      </c>
      <c r="D449" s="1">
        <v>1</v>
      </c>
      <c r="E449" s="1" t="s">
        <v>245</v>
      </c>
      <c r="F449" s="1">
        <v>0.29270000000000002</v>
      </c>
      <c r="G449" s="1">
        <v>0</v>
      </c>
      <c r="H449" s="2">
        <v>0.21199999999999999</v>
      </c>
    </row>
    <row r="450" spans="1:8" s="1" customFormat="1" x14ac:dyDescent="0.35">
      <c r="A450" s="1" t="s">
        <v>696</v>
      </c>
      <c r="B450" s="1" t="s">
        <v>628</v>
      </c>
      <c r="C450" s="1">
        <v>258</v>
      </c>
      <c r="D450" s="1">
        <v>5</v>
      </c>
      <c r="E450" s="1" t="s">
        <v>245</v>
      </c>
      <c r="F450" s="1">
        <v>0.34989999999999999</v>
      </c>
      <c r="G450" s="1">
        <v>0</v>
      </c>
      <c r="H450" s="2">
        <v>0.253</v>
      </c>
    </row>
    <row r="451" spans="1:8" s="1" customFormat="1" x14ac:dyDescent="0.35">
      <c r="A451" s="1" t="s">
        <v>697</v>
      </c>
      <c r="B451" s="1" t="s">
        <v>628</v>
      </c>
      <c r="C451" s="1">
        <v>58</v>
      </c>
      <c r="D451" s="1">
        <v>1</v>
      </c>
      <c r="E451" s="1" t="s">
        <v>245</v>
      </c>
      <c r="F451" s="1">
        <v>0.34460000000000002</v>
      </c>
      <c r="G451" s="1">
        <v>0</v>
      </c>
      <c r="H451" s="2">
        <v>0.249</v>
      </c>
    </row>
    <row r="452" spans="1:8" s="1" customFormat="1" x14ac:dyDescent="0.35">
      <c r="A452" s="1" t="s">
        <v>698</v>
      </c>
      <c r="B452" s="1" t="s">
        <v>628</v>
      </c>
      <c r="C452" s="1">
        <v>355</v>
      </c>
      <c r="D452" s="1">
        <v>2</v>
      </c>
      <c r="E452" s="1" t="s">
        <v>245</v>
      </c>
      <c r="F452" s="1">
        <v>0.29659999999999997</v>
      </c>
      <c r="G452" s="1">
        <v>0</v>
      </c>
      <c r="H452" s="2">
        <v>0.214</v>
      </c>
    </row>
    <row r="453" spans="1:8" s="1" customFormat="1" x14ac:dyDescent="0.35">
      <c r="A453" s="1" t="s">
        <v>699</v>
      </c>
      <c r="B453" s="1" t="s">
        <v>628</v>
      </c>
      <c r="C453" s="3">
        <v>9028</v>
      </c>
      <c r="D453" s="1">
        <v>2</v>
      </c>
      <c r="E453" s="1" t="s">
        <v>245</v>
      </c>
      <c r="F453" s="1">
        <v>0.25850000000000001</v>
      </c>
      <c r="G453" s="1">
        <v>0</v>
      </c>
      <c r="H453" s="2">
        <v>0.187</v>
      </c>
    </row>
    <row r="454" spans="1:8" s="1" customFormat="1" x14ac:dyDescent="0.35">
      <c r="A454" s="1" t="s">
        <v>700</v>
      </c>
      <c r="B454" s="1" t="s">
        <v>628</v>
      </c>
      <c r="C454" s="1">
        <v>170</v>
      </c>
      <c r="D454" s="1">
        <v>3</v>
      </c>
      <c r="E454" s="1" t="s">
        <v>245</v>
      </c>
      <c r="F454" s="1">
        <v>0.3785</v>
      </c>
      <c r="G454" s="1">
        <v>0</v>
      </c>
      <c r="H454" s="2">
        <v>0.27400000000000002</v>
      </c>
    </row>
    <row r="455" spans="1:8" s="1" customFormat="1" x14ac:dyDescent="0.35">
      <c r="A455" s="1" t="s">
        <v>701</v>
      </c>
      <c r="B455" s="1" t="s">
        <v>628</v>
      </c>
      <c r="C455" s="1">
        <v>75</v>
      </c>
      <c r="D455" s="1">
        <v>1</v>
      </c>
      <c r="E455" s="1" t="s">
        <v>245</v>
      </c>
      <c r="F455" s="1">
        <v>0.44829999999999998</v>
      </c>
      <c r="G455" s="1">
        <v>0</v>
      </c>
      <c r="H455" s="2">
        <v>0.32400000000000001</v>
      </c>
    </row>
    <row r="456" spans="1:8" s="1" customFormat="1" x14ac:dyDescent="0.35">
      <c r="A456" s="1" t="s">
        <v>702</v>
      </c>
      <c r="B456" s="1" t="s">
        <v>628</v>
      </c>
      <c r="C456" s="1">
        <v>140</v>
      </c>
      <c r="D456" s="1">
        <v>1</v>
      </c>
      <c r="E456" s="1" t="s">
        <v>245</v>
      </c>
      <c r="F456" s="1">
        <v>0.44109999999999999</v>
      </c>
      <c r="G456" s="1">
        <v>0</v>
      </c>
      <c r="H456" s="2">
        <v>0.31900000000000001</v>
      </c>
    </row>
    <row r="457" spans="1:8" s="1" customFormat="1" x14ac:dyDescent="0.35">
      <c r="A457" s="1" t="s">
        <v>703</v>
      </c>
      <c r="B457" s="1" t="s">
        <v>628</v>
      </c>
      <c r="C457" s="1">
        <v>319</v>
      </c>
      <c r="D457" s="1">
        <v>1</v>
      </c>
      <c r="E457" s="1" t="s">
        <v>245</v>
      </c>
      <c r="F457" s="1">
        <v>0.44450000000000001</v>
      </c>
      <c r="G457" s="1">
        <v>0</v>
      </c>
      <c r="H457" s="2">
        <v>0.32100000000000001</v>
      </c>
    </row>
    <row r="458" spans="1:8" s="1" customFormat="1" x14ac:dyDescent="0.35">
      <c r="A458" s="1" t="s">
        <v>704</v>
      </c>
      <c r="B458" s="1" t="s">
        <v>628</v>
      </c>
      <c r="C458" s="1">
        <v>112</v>
      </c>
      <c r="D458" s="1">
        <v>1</v>
      </c>
      <c r="E458" s="1" t="s">
        <v>245</v>
      </c>
      <c r="F458" s="1">
        <v>0.41920000000000002</v>
      </c>
      <c r="G458" s="1">
        <v>0</v>
      </c>
      <c r="H458" s="2">
        <v>0.30299999999999999</v>
      </c>
    </row>
    <row r="459" spans="1:8" s="1" customFormat="1" x14ac:dyDescent="0.35">
      <c r="A459" s="1" t="s">
        <v>705</v>
      </c>
      <c r="B459" s="1" t="s">
        <v>628</v>
      </c>
      <c r="C459" s="1">
        <v>441</v>
      </c>
      <c r="D459" s="1">
        <v>6</v>
      </c>
      <c r="E459" s="1" t="s">
        <v>245</v>
      </c>
      <c r="F459" s="1">
        <v>0.55079999999999996</v>
      </c>
      <c r="G459" s="1">
        <v>0</v>
      </c>
      <c r="H459" s="2">
        <v>0.39800000000000002</v>
      </c>
    </row>
    <row r="460" spans="1:8" s="1" customFormat="1" x14ac:dyDescent="0.35">
      <c r="A460" s="1" t="s">
        <v>706</v>
      </c>
      <c r="B460" s="1" t="s">
        <v>628</v>
      </c>
      <c r="C460" s="1">
        <v>192</v>
      </c>
      <c r="D460" s="1">
        <v>2</v>
      </c>
      <c r="E460" s="1" t="s">
        <v>245</v>
      </c>
      <c r="F460" s="1">
        <v>0.79059999999999997</v>
      </c>
      <c r="G460" s="1">
        <v>0</v>
      </c>
      <c r="H460" s="2">
        <v>0.57099999999999995</v>
      </c>
    </row>
    <row r="461" spans="1:8" s="1" customFormat="1" x14ac:dyDescent="0.35">
      <c r="A461" s="1" t="s">
        <v>707</v>
      </c>
      <c r="B461" s="1" t="s">
        <v>628</v>
      </c>
      <c r="C461" s="1">
        <v>234</v>
      </c>
      <c r="D461" s="1">
        <v>1</v>
      </c>
      <c r="E461" s="1" t="s">
        <v>245</v>
      </c>
      <c r="F461" s="1">
        <v>0.72919999999999996</v>
      </c>
      <c r="G461" s="1">
        <v>0</v>
      </c>
      <c r="H461" s="2">
        <v>0.52700000000000002</v>
      </c>
    </row>
    <row r="462" spans="1:8" s="1" customFormat="1" x14ac:dyDescent="0.35">
      <c r="A462" s="1" t="s">
        <v>708</v>
      </c>
      <c r="B462" s="1" t="s">
        <v>628</v>
      </c>
      <c r="C462" s="1">
        <v>332</v>
      </c>
      <c r="D462" s="1">
        <v>1</v>
      </c>
      <c r="E462" s="1" t="s">
        <v>245</v>
      </c>
      <c r="F462" s="1">
        <v>0.74590000000000001</v>
      </c>
      <c r="G462" s="1">
        <v>0</v>
      </c>
      <c r="H462" s="2">
        <v>0.53900000000000003</v>
      </c>
    </row>
    <row r="463" spans="1:8" s="1" customFormat="1" x14ac:dyDescent="0.35">
      <c r="A463" s="1" t="s">
        <v>709</v>
      </c>
      <c r="B463" s="1" t="s">
        <v>628</v>
      </c>
      <c r="C463" s="1">
        <v>105</v>
      </c>
      <c r="D463" s="1">
        <v>1</v>
      </c>
      <c r="E463" s="1" t="s">
        <v>245</v>
      </c>
      <c r="F463" s="1">
        <v>0.35780000000000001</v>
      </c>
      <c r="G463" s="1">
        <v>0</v>
      </c>
      <c r="H463" s="2">
        <v>0.25900000000000001</v>
      </c>
    </row>
    <row r="464" spans="1:8" s="1" customFormat="1" x14ac:dyDescent="0.35">
      <c r="A464" s="1" t="s">
        <v>710</v>
      </c>
      <c r="B464" s="1" t="s">
        <v>628</v>
      </c>
      <c r="C464" s="1">
        <v>207</v>
      </c>
      <c r="D464" s="1">
        <v>2</v>
      </c>
      <c r="E464" s="1" t="s">
        <v>245</v>
      </c>
      <c r="F464" s="1">
        <v>0.44180000000000003</v>
      </c>
      <c r="G464" s="1">
        <v>0</v>
      </c>
      <c r="H464" s="2">
        <v>0.31900000000000001</v>
      </c>
    </row>
    <row r="465" spans="1:8" s="1" customFormat="1" x14ac:dyDescent="0.35">
      <c r="A465" s="1" t="s">
        <v>711</v>
      </c>
      <c r="B465" s="1" t="s">
        <v>628</v>
      </c>
      <c r="C465" s="1">
        <v>202</v>
      </c>
      <c r="D465" s="1">
        <v>1</v>
      </c>
      <c r="E465" s="1" t="s">
        <v>245</v>
      </c>
      <c r="F465" s="1">
        <v>0.4395</v>
      </c>
      <c r="G465" s="1">
        <v>0</v>
      </c>
      <c r="H465" s="2">
        <v>0.318</v>
      </c>
    </row>
    <row r="466" spans="1:8" s="1" customFormat="1" x14ac:dyDescent="0.35">
      <c r="A466" s="1" t="s">
        <v>712</v>
      </c>
      <c r="B466" s="1" t="s">
        <v>628</v>
      </c>
      <c r="C466" s="1">
        <v>563</v>
      </c>
      <c r="D466" s="1">
        <v>4</v>
      </c>
      <c r="E466" s="1" t="s">
        <v>245</v>
      </c>
      <c r="F466" s="1">
        <v>0.43990000000000001</v>
      </c>
      <c r="G466" s="1">
        <v>0</v>
      </c>
      <c r="H466" s="2">
        <v>0.318</v>
      </c>
    </row>
    <row r="467" spans="1:8" s="1" customFormat="1" x14ac:dyDescent="0.35">
      <c r="A467" s="1" t="s">
        <v>713</v>
      </c>
      <c r="B467" s="1" t="s">
        <v>628</v>
      </c>
      <c r="C467" s="1">
        <v>331</v>
      </c>
      <c r="D467" s="1">
        <v>2</v>
      </c>
      <c r="E467" s="1" t="s">
        <v>245</v>
      </c>
      <c r="F467" s="1">
        <v>0.42880000000000001</v>
      </c>
      <c r="G467" s="1">
        <v>0</v>
      </c>
      <c r="H467" s="2">
        <v>0.31</v>
      </c>
    </row>
    <row r="468" spans="1:8" s="1" customFormat="1" x14ac:dyDescent="0.35">
      <c r="A468" s="1" t="s">
        <v>714</v>
      </c>
      <c r="B468" s="1" t="s">
        <v>628</v>
      </c>
      <c r="C468" s="3">
        <v>5241</v>
      </c>
      <c r="D468" s="1">
        <v>5</v>
      </c>
      <c r="E468" s="1" t="s">
        <v>245</v>
      </c>
      <c r="F468" s="1">
        <v>0.28489999999999999</v>
      </c>
      <c r="G468" s="1">
        <v>0</v>
      </c>
      <c r="H468" s="2">
        <v>0.20599999999999999</v>
      </c>
    </row>
    <row r="469" spans="1:8" s="1" customFormat="1" x14ac:dyDescent="0.35">
      <c r="A469" s="1" t="s">
        <v>715</v>
      </c>
      <c r="B469" s="1" t="s">
        <v>628</v>
      </c>
      <c r="C469" s="1">
        <v>593</v>
      </c>
      <c r="D469" s="1">
        <v>3</v>
      </c>
      <c r="E469" s="1" t="s">
        <v>245</v>
      </c>
      <c r="F469" s="1">
        <v>0.65300000000000002</v>
      </c>
      <c r="G469" s="1">
        <v>0</v>
      </c>
      <c r="H469" s="2">
        <v>0.47199999999999998</v>
      </c>
    </row>
    <row r="470" spans="1:8" s="1" customFormat="1" x14ac:dyDescent="0.35">
      <c r="A470" s="1" t="s">
        <v>716</v>
      </c>
      <c r="B470" s="1" t="s">
        <v>628</v>
      </c>
      <c r="C470" s="1">
        <v>87</v>
      </c>
      <c r="D470" s="1">
        <v>1</v>
      </c>
      <c r="E470" s="1" t="s">
        <v>245</v>
      </c>
      <c r="F470" s="1">
        <v>0.44450000000000001</v>
      </c>
      <c r="G470" s="1">
        <v>0</v>
      </c>
      <c r="H470" s="2">
        <v>0.32100000000000001</v>
      </c>
    </row>
    <row r="471" spans="1:8" s="1" customFormat="1" x14ac:dyDescent="0.35">
      <c r="A471" s="1" t="s">
        <v>717</v>
      </c>
      <c r="B471" s="1" t="s">
        <v>628</v>
      </c>
      <c r="C471" s="1">
        <v>53</v>
      </c>
      <c r="D471" s="1">
        <v>2</v>
      </c>
      <c r="E471" s="1" t="s">
        <v>245</v>
      </c>
      <c r="F471" s="1">
        <v>0.51229999999999998</v>
      </c>
      <c r="G471" s="1">
        <v>0</v>
      </c>
      <c r="H471" s="2">
        <v>0.37</v>
      </c>
    </row>
    <row r="472" spans="1:8" s="1" customFormat="1" x14ac:dyDescent="0.35">
      <c r="A472" s="1" t="s">
        <v>718</v>
      </c>
      <c r="B472" s="1" t="s">
        <v>628</v>
      </c>
      <c r="C472" s="1">
        <v>84</v>
      </c>
      <c r="D472" s="1">
        <v>1</v>
      </c>
      <c r="E472" s="1" t="s">
        <v>245</v>
      </c>
      <c r="F472" s="1">
        <v>0.63270000000000004</v>
      </c>
      <c r="G472" s="1">
        <v>0</v>
      </c>
      <c r="H472" s="2">
        <v>0.45700000000000002</v>
      </c>
    </row>
    <row r="473" spans="1:8" s="1" customFormat="1" x14ac:dyDescent="0.35">
      <c r="A473" s="1" t="s">
        <v>719</v>
      </c>
      <c r="B473" s="1" t="s">
        <v>628</v>
      </c>
      <c r="C473" s="1">
        <v>381</v>
      </c>
      <c r="D473" s="1">
        <v>1</v>
      </c>
      <c r="E473" s="1" t="s">
        <v>245</v>
      </c>
      <c r="F473" s="1">
        <v>0.30180000000000001</v>
      </c>
      <c r="G473" s="1">
        <v>0</v>
      </c>
      <c r="H473" s="2">
        <v>0.218</v>
      </c>
    </row>
    <row r="474" spans="1:8" s="1" customFormat="1" x14ac:dyDescent="0.35">
      <c r="A474" s="1" t="s">
        <v>720</v>
      </c>
      <c r="B474" s="1" t="s">
        <v>628</v>
      </c>
      <c r="C474" s="1">
        <v>441</v>
      </c>
      <c r="D474" s="1">
        <v>2</v>
      </c>
      <c r="E474" s="1" t="s">
        <v>245</v>
      </c>
      <c r="F474" s="1">
        <v>0.317</v>
      </c>
      <c r="G474" s="1">
        <v>0</v>
      </c>
      <c r="H474" s="2">
        <v>0.22900000000000001</v>
      </c>
    </row>
    <row r="475" spans="1:8" s="1" customFormat="1" x14ac:dyDescent="0.35">
      <c r="A475" s="1" t="s">
        <v>721</v>
      </c>
      <c r="B475" s="1" t="s">
        <v>628</v>
      </c>
      <c r="C475" s="1">
        <v>222</v>
      </c>
      <c r="D475" s="1">
        <v>2</v>
      </c>
      <c r="E475" s="1" t="s">
        <v>245</v>
      </c>
      <c r="F475" s="1">
        <v>0.28689999999999999</v>
      </c>
      <c r="G475" s="1">
        <v>0</v>
      </c>
      <c r="H475" s="2">
        <v>0.20699999999999999</v>
      </c>
    </row>
    <row r="476" spans="1:8" s="1" customFormat="1" x14ac:dyDescent="0.35">
      <c r="A476" s="1" t="s">
        <v>722</v>
      </c>
      <c r="B476" s="1" t="s">
        <v>628</v>
      </c>
      <c r="C476" s="1">
        <v>27</v>
      </c>
      <c r="D476" s="1">
        <v>1</v>
      </c>
      <c r="E476" s="1" t="s">
        <v>276</v>
      </c>
      <c r="F476" s="1">
        <v>0.78590000000000004</v>
      </c>
      <c r="G476" s="1">
        <v>1</v>
      </c>
      <c r="H476" s="2">
        <v>1.242</v>
      </c>
    </row>
    <row r="477" spans="1:8" s="1" customFormat="1" x14ac:dyDescent="0.35">
      <c r="A477" s="1" t="s">
        <v>723</v>
      </c>
      <c r="B477" s="1" t="s">
        <v>628</v>
      </c>
      <c r="C477" s="1">
        <v>255</v>
      </c>
      <c r="D477" s="1">
        <v>3</v>
      </c>
      <c r="E477" s="1" t="s">
        <v>245</v>
      </c>
      <c r="F477" s="1">
        <v>0.51549999999999996</v>
      </c>
      <c r="G477" s="1">
        <v>0</v>
      </c>
      <c r="H477" s="2">
        <v>0.373</v>
      </c>
    </row>
    <row r="478" spans="1:8" s="1" customFormat="1" x14ac:dyDescent="0.35">
      <c r="A478" s="1" t="s">
        <v>724</v>
      </c>
      <c r="B478" s="1" t="s">
        <v>628</v>
      </c>
      <c r="C478" s="1">
        <v>0</v>
      </c>
      <c r="D478" s="1">
        <v>1</v>
      </c>
      <c r="E478" s="1" t="s">
        <v>276</v>
      </c>
      <c r="F478" s="1">
        <v>0.79349999999999998</v>
      </c>
      <c r="G478" s="1">
        <v>1</v>
      </c>
      <c r="H478" s="2">
        <v>1.2470000000000001</v>
      </c>
    </row>
    <row r="479" spans="1:8" s="1" customFormat="1" x14ac:dyDescent="0.35">
      <c r="A479" s="1" t="s">
        <v>725</v>
      </c>
      <c r="B479" s="1" t="s">
        <v>628</v>
      </c>
      <c r="C479" s="3">
        <v>32588</v>
      </c>
      <c r="D479" s="1">
        <v>1</v>
      </c>
      <c r="E479" s="1" t="s">
        <v>245</v>
      </c>
      <c r="F479" s="1">
        <v>0.30199999999999999</v>
      </c>
      <c r="G479" s="1">
        <v>0</v>
      </c>
      <c r="H479" s="2">
        <v>0.218</v>
      </c>
    </row>
    <row r="480" spans="1:8" s="1" customFormat="1" x14ac:dyDescent="0.35">
      <c r="A480" s="1" t="s">
        <v>726</v>
      </c>
      <c r="B480" s="1" t="s">
        <v>628</v>
      </c>
      <c r="C480" s="3">
        <v>32588</v>
      </c>
      <c r="D480" s="1">
        <v>1</v>
      </c>
      <c r="E480" s="1" t="s">
        <v>245</v>
      </c>
      <c r="F480" s="1">
        <v>0.30199999999999999</v>
      </c>
      <c r="G480" s="1">
        <v>0</v>
      </c>
      <c r="H480" s="2">
        <v>0.218</v>
      </c>
    </row>
    <row r="481" spans="1:8" s="1" customFormat="1" x14ac:dyDescent="0.35">
      <c r="A481" s="1" t="s">
        <v>727</v>
      </c>
      <c r="B481" s="1" t="s">
        <v>628</v>
      </c>
      <c r="C481" s="1">
        <v>192</v>
      </c>
      <c r="D481" s="1">
        <v>3</v>
      </c>
      <c r="E481" s="1" t="s">
        <v>599</v>
      </c>
      <c r="F481" s="1">
        <v>0.45469999999999999</v>
      </c>
      <c r="G481" s="1">
        <v>1</v>
      </c>
      <c r="H481" s="2">
        <v>1.002</v>
      </c>
    </row>
    <row r="482" spans="1:8" s="1" customFormat="1" x14ac:dyDescent="0.35">
      <c r="A482" s="1" t="s">
        <v>728</v>
      </c>
      <c r="B482" s="1" t="s">
        <v>628</v>
      </c>
      <c r="C482" s="1">
        <v>465</v>
      </c>
      <c r="D482" s="1">
        <v>2</v>
      </c>
      <c r="E482" s="1" t="s">
        <v>245</v>
      </c>
      <c r="F482" s="1">
        <v>0.58789999999999998</v>
      </c>
      <c r="G482" s="1">
        <v>0</v>
      </c>
      <c r="H482" s="2">
        <v>0.42499999999999999</v>
      </c>
    </row>
    <row r="483" spans="1:8" s="1" customFormat="1" x14ac:dyDescent="0.35">
      <c r="A483" s="1" t="s">
        <v>729</v>
      </c>
      <c r="B483" s="1" t="s">
        <v>628</v>
      </c>
      <c r="C483" s="1">
        <v>0</v>
      </c>
      <c r="D483" s="1">
        <v>1</v>
      </c>
      <c r="E483" s="1" t="s">
        <v>394</v>
      </c>
      <c r="F483" s="1">
        <v>0.78469999999999995</v>
      </c>
      <c r="G483" s="1">
        <v>1</v>
      </c>
      <c r="H483" s="2">
        <v>1.2410000000000001</v>
      </c>
    </row>
    <row r="484" spans="1:8" s="1" customFormat="1" x14ac:dyDescent="0.35">
      <c r="A484" s="1" t="s">
        <v>730</v>
      </c>
      <c r="B484" s="1" t="s">
        <v>628</v>
      </c>
      <c r="C484" s="1">
        <v>224</v>
      </c>
      <c r="D484" s="1">
        <v>1</v>
      </c>
      <c r="E484" s="1" t="s">
        <v>245</v>
      </c>
      <c r="F484" s="1">
        <v>0.54349999999999998</v>
      </c>
      <c r="G484" s="1">
        <v>0</v>
      </c>
      <c r="H484" s="2">
        <v>0.39300000000000002</v>
      </c>
    </row>
    <row r="485" spans="1:8" s="1" customFormat="1" x14ac:dyDescent="0.35">
      <c r="A485" s="1" t="s">
        <v>731</v>
      </c>
      <c r="B485" s="1" t="s">
        <v>628</v>
      </c>
      <c r="C485" s="1">
        <v>88</v>
      </c>
      <c r="D485" s="1">
        <v>2</v>
      </c>
      <c r="E485" s="1" t="s">
        <v>245</v>
      </c>
      <c r="F485" s="1">
        <v>0.63839999999999997</v>
      </c>
      <c r="G485" s="1">
        <v>0</v>
      </c>
      <c r="H485" s="2">
        <v>0.46100000000000002</v>
      </c>
    </row>
    <row r="486" spans="1:8" s="1" customFormat="1" x14ac:dyDescent="0.35">
      <c r="A486" s="1" t="s">
        <v>732</v>
      </c>
      <c r="B486" s="1" t="s">
        <v>628</v>
      </c>
      <c r="C486" s="1">
        <v>10</v>
      </c>
      <c r="D486" s="1">
        <v>1</v>
      </c>
      <c r="E486" s="1" t="s">
        <v>245</v>
      </c>
      <c r="F486" s="1">
        <v>0.70599999999999996</v>
      </c>
      <c r="G486" s="1">
        <v>0</v>
      </c>
      <c r="H486" s="2">
        <v>0.51</v>
      </c>
    </row>
    <row r="487" spans="1:8" s="1" customFormat="1" x14ac:dyDescent="0.35">
      <c r="A487" s="1" t="s">
        <v>733</v>
      </c>
      <c r="B487" s="1" t="s">
        <v>628</v>
      </c>
      <c r="C487" s="1">
        <v>78</v>
      </c>
      <c r="D487" s="1">
        <v>1</v>
      </c>
      <c r="E487" s="1" t="s">
        <v>276</v>
      </c>
      <c r="F487" s="1">
        <v>0.81069999999999998</v>
      </c>
      <c r="G487" s="1">
        <v>1</v>
      </c>
      <c r="H487" s="2">
        <v>1.2589999999999999</v>
      </c>
    </row>
    <row r="488" spans="1:8" s="1" customFormat="1" x14ac:dyDescent="0.35">
      <c r="A488" s="1" t="s">
        <v>734</v>
      </c>
      <c r="B488" s="1" t="s">
        <v>628</v>
      </c>
      <c r="C488" s="1">
        <v>202</v>
      </c>
      <c r="D488" s="1">
        <v>1</v>
      </c>
      <c r="E488" s="1" t="s">
        <v>245</v>
      </c>
      <c r="F488" s="1">
        <v>0.29870000000000002</v>
      </c>
      <c r="G488" s="1">
        <v>0</v>
      </c>
      <c r="H488" s="2">
        <v>0.216</v>
      </c>
    </row>
    <row r="489" spans="1:8" s="1" customFormat="1" x14ac:dyDescent="0.35">
      <c r="A489" s="1" t="s">
        <v>735</v>
      </c>
      <c r="B489" s="1" t="s">
        <v>628</v>
      </c>
      <c r="C489" s="1">
        <v>181</v>
      </c>
      <c r="D489" s="1">
        <v>2</v>
      </c>
      <c r="E489" s="1" t="s">
        <v>245</v>
      </c>
      <c r="F489" s="1">
        <v>0.56310000000000004</v>
      </c>
      <c r="G489" s="1">
        <v>0</v>
      </c>
      <c r="H489" s="2">
        <v>0.40699999999999997</v>
      </c>
    </row>
    <row r="490" spans="1:8" s="1" customFormat="1" x14ac:dyDescent="0.35">
      <c r="A490" s="1" t="s">
        <v>736</v>
      </c>
      <c r="B490" s="1" t="s">
        <v>628</v>
      </c>
      <c r="C490" s="1">
        <v>30</v>
      </c>
      <c r="D490" s="1">
        <v>1</v>
      </c>
      <c r="E490" s="1" t="s">
        <v>245</v>
      </c>
      <c r="F490" s="1">
        <v>0.70840000000000003</v>
      </c>
      <c r="G490" s="1">
        <v>0</v>
      </c>
      <c r="H490" s="2">
        <v>0.51200000000000001</v>
      </c>
    </row>
    <row r="491" spans="1:8" s="1" customFormat="1" x14ac:dyDescent="0.35">
      <c r="A491" s="1" t="s">
        <v>737</v>
      </c>
      <c r="B491" s="1" t="s">
        <v>628</v>
      </c>
      <c r="C491" s="1">
        <v>129</v>
      </c>
      <c r="D491" s="1">
        <v>1</v>
      </c>
      <c r="E491" s="1" t="s">
        <v>245</v>
      </c>
      <c r="F491" s="1">
        <v>0.25309999999999999</v>
      </c>
      <c r="G491" s="1">
        <v>0</v>
      </c>
      <c r="H491" s="2">
        <v>0.183</v>
      </c>
    </row>
    <row r="492" spans="1:8" s="1" customFormat="1" x14ac:dyDescent="0.35">
      <c r="A492" s="1" t="s">
        <v>738</v>
      </c>
      <c r="B492" s="1" t="s">
        <v>628</v>
      </c>
      <c r="C492" s="1">
        <v>847</v>
      </c>
      <c r="D492" s="1">
        <v>3</v>
      </c>
      <c r="E492" s="1" t="s">
        <v>245</v>
      </c>
      <c r="F492" s="1">
        <v>0.26140000000000002</v>
      </c>
      <c r="G492" s="1">
        <v>0</v>
      </c>
      <c r="H492" s="2">
        <v>0.189</v>
      </c>
    </row>
    <row r="493" spans="1:8" s="1" customFormat="1" x14ac:dyDescent="0.35">
      <c r="A493" s="1" t="s">
        <v>739</v>
      </c>
      <c r="B493" s="1" t="s">
        <v>628</v>
      </c>
      <c r="C493" s="3">
        <v>2184</v>
      </c>
      <c r="D493" s="1">
        <v>5</v>
      </c>
      <c r="E493" s="1" t="s">
        <v>245</v>
      </c>
      <c r="F493" s="1">
        <v>0.24260000000000001</v>
      </c>
      <c r="G493" s="1">
        <v>0</v>
      </c>
      <c r="H493" s="2">
        <v>0.17499999999999999</v>
      </c>
    </row>
    <row r="494" spans="1:8" s="1" customFormat="1" x14ac:dyDescent="0.35">
      <c r="A494" s="1" t="s">
        <v>740</v>
      </c>
      <c r="B494" s="1" t="s">
        <v>628</v>
      </c>
      <c r="C494" s="1">
        <v>21</v>
      </c>
      <c r="D494" s="1">
        <v>1</v>
      </c>
      <c r="E494" s="1" t="s">
        <v>245</v>
      </c>
      <c r="F494" s="1">
        <v>0.26829999999999998</v>
      </c>
      <c r="G494" s="1">
        <v>0</v>
      </c>
      <c r="H494" s="2">
        <v>0.19400000000000001</v>
      </c>
    </row>
    <row r="495" spans="1:8" s="1" customFormat="1" x14ac:dyDescent="0.35">
      <c r="A495" s="1" t="s">
        <v>741</v>
      </c>
      <c r="B495" s="1" t="s">
        <v>628</v>
      </c>
      <c r="C495" s="1">
        <v>114</v>
      </c>
      <c r="D495" s="1">
        <v>1</v>
      </c>
      <c r="E495" s="1" t="s">
        <v>245</v>
      </c>
      <c r="F495" s="1">
        <v>0.2112</v>
      </c>
      <c r="G495" s="1">
        <v>0</v>
      </c>
      <c r="H495" s="2">
        <v>0.153</v>
      </c>
    </row>
    <row r="496" spans="1:8" s="1" customFormat="1" x14ac:dyDescent="0.35">
      <c r="A496" s="1" t="s">
        <v>742</v>
      </c>
      <c r="B496" s="1" t="s">
        <v>628</v>
      </c>
      <c r="C496" s="1">
        <v>168</v>
      </c>
      <c r="D496" s="1">
        <v>1</v>
      </c>
      <c r="E496" s="1" t="s">
        <v>245</v>
      </c>
      <c r="F496" s="1">
        <v>0.24610000000000001</v>
      </c>
      <c r="G496" s="1">
        <v>0</v>
      </c>
      <c r="H496" s="2">
        <v>0.17799999999999999</v>
      </c>
    </row>
    <row r="497" spans="1:8" s="1" customFormat="1" x14ac:dyDescent="0.35">
      <c r="A497" s="1" t="s">
        <v>743</v>
      </c>
      <c r="B497" s="1" t="s">
        <v>628</v>
      </c>
      <c r="C497" s="1">
        <v>0</v>
      </c>
      <c r="D497" s="1">
        <v>2</v>
      </c>
      <c r="E497" s="1" t="s">
        <v>276</v>
      </c>
      <c r="F497" s="1">
        <v>0.51770000000000005</v>
      </c>
      <c r="G497" s="1">
        <v>1</v>
      </c>
      <c r="H497" s="2">
        <v>1.048</v>
      </c>
    </row>
    <row r="498" spans="1:8" s="1" customFormat="1" x14ac:dyDescent="0.35">
      <c r="A498" s="1" t="s">
        <v>744</v>
      </c>
      <c r="B498" s="1" t="s">
        <v>628</v>
      </c>
      <c r="C498" s="1">
        <v>143</v>
      </c>
      <c r="D498" s="1">
        <v>1</v>
      </c>
      <c r="E498" s="1" t="s">
        <v>245</v>
      </c>
      <c r="F498" s="1">
        <v>0.2382</v>
      </c>
      <c r="G498" s="1">
        <v>0</v>
      </c>
      <c r="H498" s="2">
        <v>0.17199999999999999</v>
      </c>
    </row>
    <row r="499" spans="1:8" s="1" customFormat="1" x14ac:dyDescent="0.35">
      <c r="A499" s="1" t="s">
        <v>745</v>
      </c>
      <c r="B499" s="1" t="s">
        <v>628</v>
      </c>
      <c r="C499" s="1">
        <v>731</v>
      </c>
      <c r="D499" s="1">
        <v>2</v>
      </c>
      <c r="E499" s="1" t="s">
        <v>245</v>
      </c>
      <c r="F499" s="1">
        <v>0.24329999999999999</v>
      </c>
      <c r="G499" s="1">
        <v>0</v>
      </c>
      <c r="H499" s="2">
        <v>0.17599999999999999</v>
      </c>
    </row>
    <row r="500" spans="1:8" s="1" customFormat="1" x14ac:dyDescent="0.35">
      <c r="A500" s="1" t="s">
        <v>746</v>
      </c>
      <c r="B500" s="1" t="s">
        <v>628</v>
      </c>
      <c r="C500" s="1">
        <v>230</v>
      </c>
      <c r="D500" s="1">
        <v>1</v>
      </c>
      <c r="E500" s="1" t="s">
        <v>245</v>
      </c>
      <c r="F500" s="1">
        <v>0.24610000000000001</v>
      </c>
      <c r="G500" s="1">
        <v>0</v>
      </c>
      <c r="H500" s="2">
        <v>0.17799999999999999</v>
      </c>
    </row>
    <row r="501" spans="1:8" s="1" customFormat="1" x14ac:dyDescent="0.35">
      <c r="A501" s="1" t="s">
        <v>747</v>
      </c>
      <c r="B501" s="1" t="s">
        <v>628</v>
      </c>
      <c r="C501" s="1">
        <v>555</v>
      </c>
      <c r="D501" s="1">
        <v>3</v>
      </c>
      <c r="E501" s="1" t="s">
        <v>245</v>
      </c>
      <c r="F501" s="1">
        <v>0.28189999999999998</v>
      </c>
      <c r="G501" s="1">
        <v>0</v>
      </c>
      <c r="H501" s="2">
        <v>0.20399999999999999</v>
      </c>
    </row>
    <row r="502" spans="1:8" s="1" customFormat="1" x14ac:dyDescent="0.35">
      <c r="A502" s="1" t="s">
        <v>748</v>
      </c>
      <c r="B502" s="1" t="s">
        <v>628</v>
      </c>
      <c r="C502" s="1">
        <v>74</v>
      </c>
      <c r="D502" s="1">
        <v>1</v>
      </c>
      <c r="E502" s="1" t="s">
        <v>245</v>
      </c>
      <c r="F502" s="1">
        <v>0.26879999999999998</v>
      </c>
      <c r="G502" s="1">
        <v>0</v>
      </c>
      <c r="H502" s="2">
        <v>0.19400000000000001</v>
      </c>
    </row>
    <row r="503" spans="1:8" s="1" customFormat="1" x14ac:dyDescent="0.35">
      <c r="A503" s="1" t="s">
        <v>749</v>
      </c>
      <c r="B503" s="1" t="s">
        <v>628</v>
      </c>
      <c r="C503" s="1">
        <v>332</v>
      </c>
      <c r="D503" s="1">
        <v>1</v>
      </c>
      <c r="E503" s="1" t="s">
        <v>245</v>
      </c>
      <c r="F503" s="1">
        <v>0.19470000000000001</v>
      </c>
      <c r="G503" s="1">
        <v>0</v>
      </c>
      <c r="H503" s="2">
        <v>0.14099999999999999</v>
      </c>
    </row>
    <row r="504" spans="1:8" s="1" customFormat="1" x14ac:dyDescent="0.35">
      <c r="A504" s="1" t="s">
        <v>750</v>
      </c>
      <c r="B504" s="1" t="s">
        <v>628</v>
      </c>
      <c r="C504" s="1">
        <v>822</v>
      </c>
      <c r="D504" s="1">
        <v>1</v>
      </c>
      <c r="E504" s="1" t="s">
        <v>245</v>
      </c>
      <c r="F504" s="1">
        <v>0.1948</v>
      </c>
      <c r="G504" s="1">
        <v>0</v>
      </c>
      <c r="H504" s="2">
        <v>0.14099999999999999</v>
      </c>
    </row>
    <row r="505" spans="1:8" s="1" customFormat="1" x14ac:dyDescent="0.35">
      <c r="A505" s="1" t="s">
        <v>751</v>
      </c>
      <c r="B505" s="1" t="s">
        <v>628</v>
      </c>
      <c r="C505" s="3">
        <v>1689</v>
      </c>
      <c r="D505" s="1">
        <v>1</v>
      </c>
      <c r="E505" s="1" t="s">
        <v>245</v>
      </c>
      <c r="F505" s="1">
        <v>0.19450000000000001</v>
      </c>
      <c r="G505" s="1">
        <v>0</v>
      </c>
      <c r="H505" s="2">
        <v>0.14099999999999999</v>
      </c>
    </row>
    <row r="506" spans="1:8" s="1" customFormat="1" x14ac:dyDescent="0.35">
      <c r="A506" s="1" t="s">
        <v>752</v>
      </c>
      <c r="B506" s="1" t="s">
        <v>628</v>
      </c>
      <c r="C506" s="1">
        <v>94</v>
      </c>
      <c r="D506" s="1">
        <v>1</v>
      </c>
      <c r="E506" s="1" t="s">
        <v>245</v>
      </c>
      <c r="F506" s="1">
        <v>0.22620000000000001</v>
      </c>
      <c r="G506" s="1">
        <v>0</v>
      </c>
      <c r="H506" s="2">
        <v>0.16300000000000001</v>
      </c>
    </row>
    <row r="507" spans="1:8" s="1" customFormat="1" x14ac:dyDescent="0.35">
      <c r="A507" s="1" t="s">
        <v>753</v>
      </c>
      <c r="B507" s="1" t="s">
        <v>628</v>
      </c>
      <c r="C507" s="3">
        <v>1842</v>
      </c>
      <c r="D507" s="1">
        <v>1</v>
      </c>
      <c r="E507" s="1" t="s">
        <v>245</v>
      </c>
      <c r="F507" s="1">
        <v>0.21129999999999999</v>
      </c>
      <c r="G507" s="1">
        <v>0</v>
      </c>
      <c r="H507" s="2">
        <v>0.153</v>
      </c>
    </row>
    <row r="508" spans="1:8" s="1" customFormat="1" x14ac:dyDescent="0.35">
      <c r="A508" s="1" t="s">
        <v>754</v>
      </c>
      <c r="B508" s="1" t="s">
        <v>628</v>
      </c>
      <c r="C508" s="1">
        <v>225</v>
      </c>
      <c r="D508" s="1">
        <v>1</v>
      </c>
      <c r="E508" s="1" t="s">
        <v>245</v>
      </c>
      <c r="F508" s="1">
        <v>0.25800000000000001</v>
      </c>
      <c r="G508" s="1">
        <v>0</v>
      </c>
      <c r="H508" s="2">
        <v>0.186</v>
      </c>
    </row>
    <row r="509" spans="1:8" s="1" customFormat="1" x14ac:dyDescent="0.35">
      <c r="A509" s="1" t="s">
        <v>755</v>
      </c>
      <c r="B509" s="1" t="s">
        <v>628</v>
      </c>
      <c r="C509" s="1">
        <v>111</v>
      </c>
      <c r="D509" s="1">
        <v>1</v>
      </c>
      <c r="E509" s="1" t="s">
        <v>245</v>
      </c>
      <c r="F509" s="1">
        <v>0.33660000000000001</v>
      </c>
      <c r="G509" s="1">
        <v>0</v>
      </c>
      <c r="H509" s="2">
        <v>0.24299999999999999</v>
      </c>
    </row>
    <row r="510" spans="1:8" s="1" customFormat="1" x14ac:dyDescent="0.35">
      <c r="A510" s="1" t="s">
        <v>756</v>
      </c>
      <c r="B510" s="1" t="s">
        <v>628</v>
      </c>
      <c r="C510" s="1">
        <v>622</v>
      </c>
      <c r="D510" s="1">
        <v>1</v>
      </c>
      <c r="E510" s="1" t="s">
        <v>276</v>
      </c>
      <c r="F510" s="1">
        <v>0.70140000000000002</v>
      </c>
      <c r="G510" s="1">
        <v>1</v>
      </c>
      <c r="H510" s="2">
        <v>1.18</v>
      </c>
    </row>
    <row r="511" spans="1:8" s="1" customFormat="1" x14ac:dyDescent="0.35">
      <c r="A511" s="1" t="s">
        <v>757</v>
      </c>
      <c r="B511" s="1" t="s">
        <v>628</v>
      </c>
      <c r="C511" s="1">
        <v>244</v>
      </c>
      <c r="D511" s="1">
        <v>3</v>
      </c>
      <c r="E511" s="1" t="s">
        <v>245</v>
      </c>
      <c r="F511" s="1">
        <v>0.53269999999999995</v>
      </c>
      <c r="G511" s="1">
        <v>0</v>
      </c>
      <c r="H511" s="2">
        <v>0.38500000000000001</v>
      </c>
    </row>
    <row r="512" spans="1:8" s="1" customFormat="1" x14ac:dyDescent="0.35">
      <c r="A512" s="1" t="s">
        <v>758</v>
      </c>
      <c r="B512" s="1" t="s">
        <v>628</v>
      </c>
      <c r="C512" s="1">
        <v>49</v>
      </c>
      <c r="D512" s="1">
        <v>2</v>
      </c>
      <c r="E512" s="1" t="s">
        <v>276</v>
      </c>
      <c r="F512" s="1">
        <v>0.72330000000000005</v>
      </c>
      <c r="G512" s="1">
        <v>1</v>
      </c>
      <c r="H512" s="2">
        <v>1.196</v>
      </c>
    </row>
    <row r="513" spans="1:8" s="1" customFormat="1" x14ac:dyDescent="0.35">
      <c r="A513" s="1" t="s">
        <v>759</v>
      </c>
      <c r="B513" s="1" t="s">
        <v>628</v>
      </c>
      <c r="C513" s="1">
        <v>158</v>
      </c>
      <c r="D513" s="1">
        <v>1</v>
      </c>
      <c r="E513" s="1" t="s">
        <v>245</v>
      </c>
      <c r="F513" s="1">
        <v>0.50870000000000004</v>
      </c>
      <c r="G513" s="1">
        <v>0</v>
      </c>
      <c r="H513" s="2">
        <v>0.36799999999999999</v>
      </c>
    </row>
    <row r="514" spans="1:8" s="1" customFormat="1" x14ac:dyDescent="0.35">
      <c r="A514" s="1" t="s">
        <v>760</v>
      </c>
      <c r="B514" s="1" t="s">
        <v>628</v>
      </c>
      <c r="C514" s="1">
        <v>87</v>
      </c>
      <c r="D514" s="1">
        <v>3</v>
      </c>
      <c r="E514" s="1" t="s">
        <v>245</v>
      </c>
      <c r="F514" s="1">
        <v>0.55689999999999995</v>
      </c>
      <c r="G514" s="1">
        <v>0</v>
      </c>
      <c r="H514" s="2">
        <v>0.40200000000000002</v>
      </c>
    </row>
    <row r="515" spans="1:8" s="1" customFormat="1" x14ac:dyDescent="0.35">
      <c r="A515" s="1" t="s">
        <v>761</v>
      </c>
      <c r="B515" s="1" t="s">
        <v>628</v>
      </c>
      <c r="C515" s="1">
        <v>134</v>
      </c>
      <c r="D515" s="1">
        <v>2</v>
      </c>
      <c r="E515" s="1" t="s">
        <v>245</v>
      </c>
      <c r="F515" s="1">
        <v>0.314</v>
      </c>
      <c r="G515" s="1">
        <v>0</v>
      </c>
      <c r="H515" s="2">
        <v>0.22700000000000001</v>
      </c>
    </row>
    <row r="516" spans="1:8" s="1" customFormat="1" x14ac:dyDescent="0.35">
      <c r="A516" s="1" t="s">
        <v>762</v>
      </c>
      <c r="B516" s="1" t="s">
        <v>628</v>
      </c>
      <c r="C516" s="1">
        <v>552</v>
      </c>
      <c r="D516" s="1">
        <v>2</v>
      </c>
      <c r="E516" s="1" t="s">
        <v>245</v>
      </c>
      <c r="F516" s="1">
        <v>0.31480000000000002</v>
      </c>
      <c r="G516" s="1">
        <v>0</v>
      </c>
      <c r="H516" s="2">
        <v>0.22700000000000001</v>
      </c>
    </row>
    <row r="517" spans="1:8" s="1" customFormat="1" x14ac:dyDescent="0.35">
      <c r="A517" s="1" t="s">
        <v>763</v>
      </c>
      <c r="B517" s="1" t="s">
        <v>628</v>
      </c>
      <c r="C517" s="1">
        <v>19</v>
      </c>
      <c r="D517" s="1">
        <v>1</v>
      </c>
      <c r="E517" s="1" t="s">
        <v>245</v>
      </c>
      <c r="F517" s="1">
        <v>0.53090000000000004</v>
      </c>
      <c r="G517" s="1">
        <v>0</v>
      </c>
      <c r="H517" s="2">
        <v>0.38400000000000001</v>
      </c>
    </row>
    <row r="518" spans="1:8" s="1" customFormat="1" x14ac:dyDescent="0.35">
      <c r="A518" s="1" t="s">
        <v>764</v>
      </c>
      <c r="B518" s="1" t="s">
        <v>628</v>
      </c>
      <c r="C518" s="1">
        <v>5</v>
      </c>
      <c r="D518" s="1">
        <v>1</v>
      </c>
      <c r="E518" s="1" t="s">
        <v>245</v>
      </c>
      <c r="F518" s="1">
        <v>0.58699999999999997</v>
      </c>
      <c r="G518" s="1">
        <v>0</v>
      </c>
      <c r="H518" s="2">
        <v>0.42399999999999999</v>
      </c>
    </row>
    <row r="519" spans="1:8" s="1" customFormat="1" x14ac:dyDescent="0.35">
      <c r="A519" s="1" t="s">
        <v>765</v>
      </c>
      <c r="B519" s="1" t="s">
        <v>628</v>
      </c>
      <c r="C519" s="1">
        <v>274</v>
      </c>
      <c r="D519" s="1">
        <v>2</v>
      </c>
      <c r="E519" s="1" t="s">
        <v>245</v>
      </c>
      <c r="F519" s="1">
        <v>0.5121</v>
      </c>
      <c r="G519" s="1">
        <v>0</v>
      </c>
      <c r="H519" s="2">
        <v>0.37</v>
      </c>
    </row>
    <row r="520" spans="1:8" s="1" customFormat="1" x14ac:dyDescent="0.35">
      <c r="A520" s="1" t="s">
        <v>766</v>
      </c>
      <c r="B520" s="1" t="s">
        <v>628</v>
      </c>
      <c r="C520" s="1">
        <v>555</v>
      </c>
      <c r="D520" s="1">
        <v>1</v>
      </c>
      <c r="E520" s="1" t="s">
        <v>245</v>
      </c>
      <c r="F520" s="1">
        <v>0.65769999999999995</v>
      </c>
      <c r="G520" s="1">
        <v>0</v>
      </c>
      <c r="H520" s="2">
        <v>0.47499999999999998</v>
      </c>
    </row>
    <row r="521" spans="1:8" s="1" customFormat="1" x14ac:dyDescent="0.35">
      <c r="A521" s="1" t="s">
        <v>767</v>
      </c>
      <c r="B521" s="1" t="s">
        <v>628</v>
      </c>
      <c r="C521" s="1">
        <v>837</v>
      </c>
      <c r="D521" s="1">
        <v>1</v>
      </c>
      <c r="E521" s="1" t="s">
        <v>245</v>
      </c>
      <c r="F521" s="1">
        <v>0.62749999999999995</v>
      </c>
      <c r="G521" s="1">
        <v>0</v>
      </c>
      <c r="H521" s="2">
        <v>0.45300000000000001</v>
      </c>
    </row>
    <row r="522" spans="1:8" s="1" customFormat="1" x14ac:dyDescent="0.35">
      <c r="A522" s="1" t="s">
        <v>768</v>
      </c>
      <c r="B522" s="1" t="s">
        <v>628</v>
      </c>
      <c r="C522" s="3">
        <v>1880</v>
      </c>
      <c r="D522" s="1">
        <v>1</v>
      </c>
      <c r="E522" s="1" t="s">
        <v>245</v>
      </c>
      <c r="F522" s="1">
        <v>0.54530000000000001</v>
      </c>
      <c r="G522" s="1">
        <v>0</v>
      </c>
      <c r="H522" s="2">
        <v>0.39400000000000002</v>
      </c>
    </row>
    <row r="523" spans="1:8" s="1" customFormat="1" x14ac:dyDescent="0.35">
      <c r="A523" s="1" t="s">
        <v>769</v>
      </c>
      <c r="B523" s="1" t="s">
        <v>628</v>
      </c>
      <c r="C523" s="1">
        <v>353</v>
      </c>
      <c r="D523" s="1">
        <v>1</v>
      </c>
      <c r="E523" s="1" t="s">
        <v>245</v>
      </c>
      <c r="F523" s="1">
        <v>0.58109999999999995</v>
      </c>
      <c r="G523" s="1">
        <v>0</v>
      </c>
      <c r="H523" s="2">
        <v>0.42</v>
      </c>
    </row>
    <row r="524" spans="1:8" s="1" customFormat="1" x14ac:dyDescent="0.35">
      <c r="A524" s="1" t="s">
        <v>770</v>
      </c>
      <c r="B524" s="1" t="s">
        <v>628</v>
      </c>
      <c r="C524" s="1">
        <v>88</v>
      </c>
      <c r="D524" s="1">
        <v>1</v>
      </c>
      <c r="E524" s="1" t="s">
        <v>245</v>
      </c>
      <c r="F524" s="1">
        <v>0.46560000000000001</v>
      </c>
      <c r="G524" s="1">
        <v>0</v>
      </c>
      <c r="H524" s="2">
        <v>0.33600000000000002</v>
      </c>
    </row>
    <row r="525" spans="1:8" s="1" customFormat="1" x14ac:dyDescent="0.35">
      <c r="A525" s="1" t="s">
        <v>771</v>
      </c>
      <c r="B525" s="1" t="s">
        <v>628</v>
      </c>
      <c r="C525" s="1">
        <v>646</v>
      </c>
      <c r="D525" s="1">
        <v>1</v>
      </c>
      <c r="E525" s="1" t="s">
        <v>245</v>
      </c>
      <c r="F525" s="1">
        <v>0.54759999999999998</v>
      </c>
      <c r="G525" s="1">
        <v>0</v>
      </c>
      <c r="H525" s="2">
        <v>0.39600000000000002</v>
      </c>
    </row>
    <row r="526" spans="1:8" s="1" customFormat="1" x14ac:dyDescent="0.35">
      <c r="A526" s="1" t="s">
        <v>772</v>
      </c>
      <c r="B526" s="1" t="s">
        <v>628</v>
      </c>
      <c r="C526" s="1">
        <v>52</v>
      </c>
      <c r="D526" s="1">
        <v>1</v>
      </c>
      <c r="E526" s="1" t="s">
        <v>245</v>
      </c>
      <c r="F526" s="1">
        <v>0.61890000000000001</v>
      </c>
      <c r="G526" s="1">
        <v>0</v>
      </c>
      <c r="H526" s="2">
        <v>0.44700000000000001</v>
      </c>
    </row>
    <row r="527" spans="1:8" s="1" customFormat="1" x14ac:dyDescent="0.35">
      <c r="A527" s="1" t="s">
        <v>773</v>
      </c>
      <c r="B527" s="1" t="s">
        <v>628</v>
      </c>
      <c r="C527" s="1">
        <v>525</v>
      </c>
      <c r="D527" s="1">
        <v>1</v>
      </c>
      <c r="E527" s="1" t="s">
        <v>245</v>
      </c>
      <c r="F527" s="1">
        <v>0.4798</v>
      </c>
      <c r="G527" s="1">
        <v>0</v>
      </c>
      <c r="H527" s="2">
        <v>0.34699999999999998</v>
      </c>
    </row>
    <row r="528" spans="1:8" s="1" customFormat="1" x14ac:dyDescent="0.35">
      <c r="A528" s="1" t="s">
        <v>774</v>
      </c>
      <c r="B528" s="1" t="s">
        <v>628</v>
      </c>
      <c r="C528" s="3">
        <v>1880</v>
      </c>
      <c r="D528" s="1">
        <v>1</v>
      </c>
      <c r="E528" s="1" t="s">
        <v>245</v>
      </c>
      <c r="F528" s="1">
        <v>0.54530000000000001</v>
      </c>
      <c r="G528" s="1">
        <v>0</v>
      </c>
      <c r="H528" s="2">
        <v>0.39400000000000002</v>
      </c>
    </row>
    <row r="529" spans="1:8" s="1" customFormat="1" x14ac:dyDescent="0.35">
      <c r="A529" s="1" t="s">
        <v>775</v>
      </c>
      <c r="B529" s="1" t="s">
        <v>628</v>
      </c>
      <c r="C529" s="3">
        <v>1880</v>
      </c>
      <c r="D529" s="1">
        <v>1</v>
      </c>
      <c r="E529" s="1" t="s">
        <v>245</v>
      </c>
      <c r="F529" s="1">
        <v>0.54530000000000001</v>
      </c>
      <c r="G529" s="1">
        <v>0</v>
      </c>
      <c r="H529" s="2">
        <v>0.39400000000000002</v>
      </c>
    </row>
    <row r="530" spans="1:8" s="1" customFormat="1" x14ac:dyDescent="0.35">
      <c r="A530" s="1" t="s">
        <v>776</v>
      </c>
      <c r="B530" s="1" t="s">
        <v>628</v>
      </c>
      <c r="C530" s="3">
        <v>1880</v>
      </c>
      <c r="D530" s="1">
        <v>1</v>
      </c>
      <c r="E530" s="1" t="s">
        <v>245</v>
      </c>
      <c r="F530" s="1">
        <v>0.54530000000000001</v>
      </c>
      <c r="G530" s="1">
        <v>0</v>
      </c>
      <c r="H530" s="2">
        <v>0.39400000000000002</v>
      </c>
    </row>
    <row r="531" spans="1:8" s="1" customFormat="1" x14ac:dyDescent="0.35">
      <c r="A531" s="1" t="s">
        <v>777</v>
      </c>
      <c r="B531" s="1" t="s">
        <v>628</v>
      </c>
      <c r="C531" s="1">
        <v>356</v>
      </c>
      <c r="D531" s="1">
        <v>3</v>
      </c>
      <c r="E531" s="1" t="s">
        <v>245</v>
      </c>
      <c r="F531" s="1">
        <v>0.4209</v>
      </c>
      <c r="G531" s="1">
        <v>0</v>
      </c>
      <c r="H531" s="2">
        <v>0.30399999999999999</v>
      </c>
    </row>
    <row r="532" spans="1:8" s="1" customFormat="1" x14ac:dyDescent="0.35">
      <c r="A532" s="1" t="s">
        <v>778</v>
      </c>
      <c r="B532" s="1" t="s">
        <v>628</v>
      </c>
      <c r="C532" s="1">
        <v>334</v>
      </c>
      <c r="D532" s="1">
        <v>1</v>
      </c>
      <c r="E532" s="1" t="s">
        <v>245</v>
      </c>
      <c r="F532" s="1">
        <v>0.40949999999999998</v>
      </c>
      <c r="G532" s="1">
        <v>0</v>
      </c>
      <c r="H532" s="2">
        <v>0.29599999999999999</v>
      </c>
    </row>
    <row r="533" spans="1:8" s="1" customFormat="1" x14ac:dyDescent="0.35">
      <c r="A533" s="1" t="s">
        <v>779</v>
      </c>
      <c r="B533" s="1" t="s">
        <v>628</v>
      </c>
      <c r="C533" s="1">
        <v>255</v>
      </c>
      <c r="D533" s="1">
        <v>4</v>
      </c>
      <c r="E533" s="1" t="s">
        <v>245</v>
      </c>
      <c r="F533" s="1">
        <v>0.6573</v>
      </c>
      <c r="G533" s="1">
        <v>0</v>
      </c>
      <c r="H533" s="2">
        <v>0.47499999999999998</v>
      </c>
    </row>
    <row r="534" spans="1:8" s="1" customFormat="1" x14ac:dyDescent="0.35">
      <c r="A534" s="1" t="s">
        <v>780</v>
      </c>
      <c r="B534" s="1" t="s">
        <v>628</v>
      </c>
      <c r="C534" s="1">
        <v>295</v>
      </c>
      <c r="D534" s="1">
        <v>1</v>
      </c>
      <c r="E534" s="1" t="s">
        <v>245</v>
      </c>
      <c r="F534" s="1">
        <v>0.71679999999999999</v>
      </c>
      <c r="G534" s="1">
        <v>0</v>
      </c>
      <c r="H534" s="2">
        <v>0.51800000000000002</v>
      </c>
    </row>
    <row r="535" spans="1:8" s="1" customFormat="1" x14ac:dyDescent="0.35">
      <c r="A535" s="1" t="s">
        <v>781</v>
      </c>
      <c r="B535" s="1" t="s">
        <v>628</v>
      </c>
      <c r="C535" s="1">
        <v>472</v>
      </c>
      <c r="D535" s="1">
        <v>4</v>
      </c>
      <c r="E535" s="1" t="s">
        <v>245</v>
      </c>
      <c r="F535" s="1">
        <v>0.32250000000000001</v>
      </c>
      <c r="G535" s="1">
        <v>0</v>
      </c>
      <c r="H535" s="2">
        <v>0.23300000000000001</v>
      </c>
    </row>
    <row r="536" spans="1:8" s="1" customFormat="1" x14ac:dyDescent="0.35">
      <c r="A536" s="1" t="s">
        <v>782</v>
      </c>
      <c r="B536" s="1" t="s">
        <v>628</v>
      </c>
      <c r="C536" s="1">
        <v>78</v>
      </c>
      <c r="D536" s="1">
        <v>2</v>
      </c>
      <c r="E536" s="1" t="s">
        <v>245</v>
      </c>
      <c r="F536" s="1">
        <v>0.36959999999999998</v>
      </c>
      <c r="G536" s="1">
        <v>0</v>
      </c>
      <c r="H536" s="2">
        <v>0.26700000000000002</v>
      </c>
    </row>
    <row r="537" spans="1:8" s="1" customFormat="1" x14ac:dyDescent="0.35">
      <c r="A537" s="1" t="s">
        <v>783</v>
      </c>
      <c r="B537" s="1" t="s">
        <v>628</v>
      </c>
      <c r="C537" s="1">
        <v>171</v>
      </c>
      <c r="D537" s="1">
        <v>3</v>
      </c>
      <c r="E537" s="1" t="s">
        <v>245</v>
      </c>
      <c r="F537" s="1">
        <v>0.37690000000000001</v>
      </c>
      <c r="G537" s="1">
        <v>0</v>
      </c>
      <c r="H537" s="2">
        <v>0.27200000000000002</v>
      </c>
    </row>
    <row r="538" spans="1:8" s="1" customFormat="1" x14ac:dyDescent="0.35">
      <c r="A538" s="1" t="s">
        <v>784</v>
      </c>
      <c r="B538" s="1" t="s">
        <v>628</v>
      </c>
      <c r="C538" s="1">
        <v>293</v>
      </c>
      <c r="D538" s="1">
        <v>1</v>
      </c>
      <c r="E538" s="1" t="s">
        <v>245</v>
      </c>
      <c r="F538" s="1">
        <v>0.34960000000000002</v>
      </c>
      <c r="G538" s="1">
        <v>0</v>
      </c>
      <c r="H538" s="2">
        <v>0.253</v>
      </c>
    </row>
    <row r="539" spans="1:8" s="1" customFormat="1" x14ac:dyDescent="0.35">
      <c r="A539" s="1" t="s">
        <v>785</v>
      </c>
      <c r="B539" s="1" t="s">
        <v>628</v>
      </c>
      <c r="C539" s="3">
        <v>3021</v>
      </c>
      <c r="D539" s="1">
        <v>1</v>
      </c>
      <c r="E539" s="1" t="s">
        <v>245</v>
      </c>
      <c r="F539" s="1">
        <v>0.26840000000000003</v>
      </c>
      <c r="G539" s="1">
        <v>0</v>
      </c>
      <c r="H539" s="2">
        <v>0.19400000000000001</v>
      </c>
    </row>
    <row r="540" spans="1:8" s="1" customFormat="1" x14ac:dyDescent="0.35">
      <c r="A540" s="1" t="s">
        <v>786</v>
      </c>
      <c r="B540" s="1" t="s">
        <v>628</v>
      </c>
      <c r="C540" s="1">
        <v>283</v>
      </c>
      <c r="D540" s="1">
        <v>4</v>
      </c>
      <c r="E540" s="1" t="s">
        <v>245</v>
      </c>
      <c r="F540" s="1">
        <v>0.31869999999999998</v>
      </c>
      <c r="G540" s="1">
        <v>0</v>
      </c>
      <c r="H540" s="2">
        <v>0.23</v>
      </c>
    </row>
    <row r="541" spans="1:8" s="1" customFormat="1" x14ac:dyDescent="0.35">
      <c r="A541" s="1" t="s">
        <v>787</v>
      </c>
      <c r="B541" s="1" t="s">
        <v>628</v>
      </c>
      <c r="C541" s="1">
        <v>308</v>
      </c>
      <c r="D541" s="1">
        <v>2</v>
      </c>
      <c r="E541" s="1" t="s">
        <v>245</v>
      </c>
      <c r="F541" s="1">
        <v>0.30649999999999999</v>
      </c>
      <c r="G541" s="1">
        <v>0</v>
      </c>
      <c r="H541" s="2">
        <v>0.222</v>
      </c>
    </row>
    <row r="542" spans="1:8" s="1" customFormat="1" x14ac:dyDescent="0.35">
      <c r="A542" s="1" t="s">
        <v>788</v>
      </c>
      <c r="B542" s="1" t="s">
        <v>628</v>
      </c>
      <c r="C542" s="1">
        <v>228</v>
      </c>
      <c r="D542" s="1">
        <v>3</v>
      </c>
      <c r="E542" s="1" t="s">
        <v>245</v>
      </c>
      <c r="F542" s="1">
        <v>0.3972</v>
      </c>
      <c r="G542" s="1">
        <v>0</v>
      </c>
      <c r="H542" s="2">
        <v>0.28699999999999998</v>
      </c>
    </row>
    <row r="543" spans="1:8" s="1" customFormat="1" x14ac:dyDescent="0.35">
      <c r="A543" s="1" t="s">
        <v>789</v>
      </c>
      <c r="B543" s="1" t="s">
        <v>628</v>
      </c>
      <c r="C543" s="1">
        <v>20</v>
      </c>
      <c r="D543" s="1">
        <v>3</v>
      </c>
      <c r="E543" s="1" t="s">
        <v>245</v>
      </c>
      <c r="F543" s="1">
        <v>0.39389999999999997</v>
      </c>
      <c r="G543" s="1">
        <v>0</v>
      </c>
      <c r="H543" s="2">
        <v>0.28499999999999998</v>
      </c>
    </row>
    <row r="544" spans="1:8" s="1" customFormat="1" x14ac:dyDescent="0.35">
      <c r="A544" s="1" t="s">
        <v>790</v>
      </c>
      <c r="B544" s="1" t="s">
        <v>628</v>
      </c>
      <c r="C544" s="1">
        <v>343</v>
      </c>
      <c r="D544" s="1">
        <v>2</v>
      </c>
      <c r="E544" s="1" t="s">
        <v>245</v>
      </c>
      <c r="F544" s="1">
        <v>0.29389999999999999</v>
      </c>
      <c r="G544" s="1">
        <v>0</v>
      </c>
      <c r="H544" s="2">
        <v>0.21199999999999999</v>
      </c>
    </row>
    <row r="545" spans="1:8" s="1" customFormat="1" x14ac:dyDescent="0.35">
      <c r="A545" s="1" t="s">
        <v>791</v>
      </c>
      <c r="B545" s="1" t="s">
        <v>628</v>
      </c>
      <c r="C545" s="1">
        <v>67</v>
      </c>
      <c r="D545" s="1">
        <v>8</v>
      </c>
      <c r="E545" s="1" t="s">
        <v>245</v>
      </c>
      <c r="F545" s="1">
        <v>0.379</v>
      </c>
      <c r="G545" s="1">
        <v>0</v>
      </c>
      <c r="H545" s="2">
        <v>0.27400000000000002</v>
      </c>
    </row>
    <row r="546" spans="1:8" s="1" customFormat="1" x14ac:dyDescent="0.35">
      <c r="A546" s="1" t="s">
        <v>792</v>
      </c>
      <c r="B546" s="1" t="s">
        <v>628</v>
      </c>
      <c r="C546" s="1">
        <v>599</v>
      </c>
      <c r="D546" s="1">
        <v>3</v>
      </c>
      <c r="E546" s="1" t="s">
        <v>245</v>
      </c>
      <c r="F546" s="1">
        <v>0.28970000000000001</v>
      </c>
      <c r="G546" s="1">
        <v>0</v>
      </c>
      <c r="H546" s="2">
        <v>0.20899999999999999</v>
      </c>
    </row>
    <row r="547" spans="1:8" s="1" customFormat="1" x14ac:dyDescent="0.35">
      <c r="A547" s="1" t="s">
        <v>793</v>
      </c>
      <c r="B547" s="1" t="s">
        <v>628</v>
      </c>
      <c r="C547" s="1">
        <v>63</v>
      </c>
      <c r="D547" s="1">
        <v>1</v>
      </c>
      <c r="E547" s="1" t="s">
        <v>245</v>
      </c>
      <c r="F547" s="1">
        <v>0.34739999999999999</v>
      </c>
      <c r="G547" s="1">
        <v>0</v>
      </c>
      <c r="H547" s="2">
        <v>0.251</v>
      </c>
    </row>
    <row r="548" spans="1:8" s="1" customFormat="1" x14ac:dyDescent="0.35">
      <c r="A548" s="1" t="s">
        <v>794</v>
      </c>
      <c r="B548" s="1" t="s">
        <v>628</v>
      </c>
      <c r="C548" s="1">
        <v>272</v>
      </c>
      <c r="D548" s="1">
        <v>3</v>
      </c>
      <c r="E548" s="1" t="s">
        <v>245</v>
      </c>
      <c r="F548" s="1">
        <v>0.31140000000000001</v>
      </c>
      <c r="G548" s="1">
        <v>0</v>
      </c>
      <c r="H548" s="2">
        <v>0.22500000000000001</v>
      </c>
    </row>
    <row r="549" spans="1:8" s="1" customFormat="1" x14ac:dyDescent="0.35">
      <c r="A549" s="1" t="s">
        <v>795</v>
      </c>
      <c r="B549" s="1" t="s">
        <v>628</v>
      </c>
      <c r="C549" s="1">
        <v>64</v>
      </c>
      <c r="D549" s="1">
        <v>1</v>
      </c>
      <c r="E549" s="1" t="s">
        <v>245</v>
      </c>
      <c r="F549" s="1">
        <v>0.33500000000000002</v>
      </c>
      <c r="G549" s="1">
        <v>0</v>
      </c>
      <c r="H549" s="2">
        <v>0.24199999999999999</v>
      </c>
    </row>
    <row r="550" spans="1:8" s="1" customFormat="1" x14ac:dyDescent="0.35">
      <c r="A550" s="1" t="s">
        <v>796</v>
      </c>
      <c r="B550" s="1" t="s">
        <v>628</v>
      </c>
      <c r="C550" s="1">
        <v>142</v>
      </c>
      <c r="D550" s="1">
        <v>1</v>
      </c>
      <c r="E550" s="1" t="s">
        <v>245</v>
      </c>
      <c r="F550" s="1">
        <v>0.30149999999999999</v>
      </c>
      <c r="G550" s="1">
        <v>0</v>
      </c>
      <c r="H550" s="2">
        <v>0.218</v>
      </c>
    </row>
    <row r="551" spans="1:8" s="1" customFormat="1" x14ac:dyDescent="0.35">
      <c r="A551" s="1" t="s">
        <v>797</v>
      </c>
      <c r="B551" s="1" t="s">
        <v>628</v>
      </c>
      <c r="C551" s="1">
        <v>70</v>
      </c>
      <c r="D551" s="1">
        <v>5</v>
      </c>
      <c r="E551" s="1" t="s">
        <v>245</v>
      </c>
      <c r="F551" s="1">
        <v>0.22589999999999999</v>
      </c>
      <c r="G551" s="1">
        <v>0</v>
      </c>
      <c r="H551" s="2">
        <v>0.16300000000000001</v>
      </c>
    </row>
    <row r="552" spans="1:8" s="1" customFormat="1" x14ac:dyDescent="0.35">
      <c r="A552" s="1" t="s">
        <v>798</v>
      </c>
      <c r="B552" s="1" t="s">
        <v>628</v>
      </c>
      <c r="C552" s="1">
        <v>76</v>
      </c>
      <c r="D552" s="1">
        <v>4</v>
      </c>
      <c r="E552" s="1" t="s">
        <v>245</v>
      </c>
      <c r="F552" s="1">
        <v>0.2142</v>
      </c>
      <c r="G552" s="1">
        <v>0</v>
      </c>
      <c r="H552" s="2">
        <v>0.155</v>
      </c>
    </row>
    <row r="553" spans="1:8" s="1" customFormat="1" x14ac:dyDescent="0.35">
      <c r="A553" s="1" t="s">
        <v>799</v>
      </c>
      <c r="B553" s="1" t="s">
        <v>628</v>
      </c>
      <c r="C553" s="1">
        <v>59</v>
      </c>
      <c r="D553" s="1">
        <v>1</v>
      </c>
      <c r="E553" s="1" t="s">
        <v>245</v>
      </c>
      <c r="F553" s="1">
        <v>0.34460000000000002</v>
      </c>
      <c r="G553" s="1">
        <v>0</v>
      </c>
      <c r="H553" s="2">
        <v>0.249</v>
      </c>
    </row>
    <row r="554" spans="1:8" s="1" customFormat="1" x14ac:dyDescent="0.35">
      <c r="A554" s="1" t="s">
        <v>800</v>
      </c>
      <c r="B554" s="1" t="s">
        <v>628</v>
      </c>
      <c r="C554" s="1">
        <v>0</v>
      </c>
      <c r="D554" s="1">
        <v>1</v>
      </c>
      <c r="E554" s="1" t="s">
        <v>394</v>
      </c>
      <c r="F554" s="1">
        <v>0.61670000000000003</v>
      </c>
      <c r="G554" s="1">
        <v>1</v>
      </c>
      <c r="H554" s="2">
        <v>1.119</v>
      </c>
    </row>
    <row r="555" spans="1:8" s="1" customFormat="1" x14ac:dyDescent="0.35">
      <c r="A555" s="1" t="s">
        <v>801</v>
      </c>
      <c r="B555" s="1" t="s">
        <v>628</v>
      </c>
      <c r="C555" s="1">
        <v>71</v>
      </c>
      <c r="D555" s="1">
        <v>2</v>
      </c>
      <c r="E555" s="1" t="s">
        <v>245</v>
      </c>
      <c r="F555" s="1">
        <v>0.34339999999999998</v>
      </c>
      <c r="G555" s="1">
        <v>0</v>
      </c>
      <c r="H555" s="2">
        <v>0.248</v>
      </c>
    </row>
    <row r="556" spans="1:8" s="1" customFormat="1" x14ac:dyDescent="0.35">
      <c r="A556" s="1" t="s">
        <v>802</v>
      </c>
      <c r="B556" s="1" t="s">
        <v>628</v>
      </c>
      <c r="C556" s="1">
        <v>589</v>
      </c>
      <c r="D556" s="1">
        <v>23</v>
      </c>
      <c r="E556" s="1" t="s">
        <v>245</v>
      </c>
      <c r="F556" s="1">
        <v>0.4254</v>
      </c>
      <c r="G556" s="1">
        <v>0</v>
      </c>
      <c r="H556" s="2">
        <v>0.307</v>
      </c>
    </row>
    <row r="557" spans="1:8" s="1" customFormat="1" x14ac:dyDescent="0.35">
      <c r="A557" s="1" t="s">
        <v>803</v>
      </c>
      <c r="B557" s="1" t="s">
        <v>628</v>
      </c>
      <c r="C557" s="1">
        <v>95</v>
      </c>
      <c r="D557" s="1">
        <v>2</v>
      </c>
      <c r="E557" s="1" t="s">
        <v>245</v>
      </c>
      <c r="F557" s="1">
        <v>0.34379999999999999</v>
      </c>
      <c r="G557" s="1">
        <v>0</v>
      </c>
      <c r="H557" s="2">
        <v>0.248</v>
      </c>
    </row>
    <row r="558" spans="1:8" s="1" customFormat="1" x14ac:dyDescent="0.35">
      <c r="A558" s="1" t="s">
        <v>804</v>
      </c>
      <c r="B558" s="1" t="s">
        <v>628</v>
      </c>
      <c r="C558" s="1">
        <v>35</v>
      </c>
      <c r="D558" s="1">
        <v>3</v>
      </c>
      <c r="E558" s="1" t="s">
        <v>245</v>
      </c>
      <c r="F558" s="1">
        <v>0.34539999999999998</v>
      </c>
      <c r="G558" s="1">
        <v>0</v>
      </c>
      <c r="H558" s="2">
        <v>0.25</v>
      </c>
    </row>
    <row r="559" spans="1:8" s="1" customFormat="1" x14ac:dyDescent="0.35">
      <c r="A559" s="1" t="s">
        <v>805</v>
      </c>
      <c r="B559" s="1" t="s">
        <v>628</v>
      </c>
      <c r="C559" s="1">
        <v>39</v>
      </c>
      <c r="D559" s="1">
        <v>2</v>
      </c>
      <c r="E559" s="1" t="s">
        <v>245</v>
      </c>
      <c r="F559" s="1">
        <v>0.20039999999999999</v>
      </c>
      <c r="G559" s="1">
        <v>0</v>
      </c>
      <c r="H559" s="2">
        <v>0.14499999999999999</v>
      </c>
    </row>
    <row r="560" spans="1:8" s="1" customFormat="1" x14ac:dyDescent="0.35">
      <c r="A560" s="1" t="s">
        <v>806</v>
      </c>
      <c r="B560" s="1" t="s">
        <v>628</v>
      </c>
      <c r="C560" s="1">
        <v>35</v>
      </c>
      <c r="D560" s="1">
        <v>1</v>
      </c>
      <c r="E560" s="1" t="s">
        <v>245</v>
      </c>
      <c r="F560" s="1">
        <v>0.437</v>
      </c>
      <c r="G560" s="1">
        <v>0</v>
      </c>
      <c r="H560" s="2">
        <v>0.316</v>
      </c>
    </row>
    <row r="561" spans="1:8" s="1" customFormat="1" x14ac:dyDescent="0.35">
      <c r="A561" s="1" t="s">
        <v>807</v>
      </c>
      <c r="B561" s="1" t="s">
        <v>628</v>
      </c>
      <c r="C561" s="1">
        <v>201</v>
      </c>
      <c r="D561" s="1">
        <v>9</v>
      </c>
      <c r="E561" s="1" t="s">
        <v>245</v>
      </c>
      <c r="F561" s="1">
        <v>0.61660000000000004</v>
      </c>
      <c r="G561" s="1">
        <v>0</v>
      </c>
      <c r="H561" s="2">
        <v>0.44600000000000001</v>
      </c>
    </row>
    <row r="562" spans="1:8" s="1" customFormat="1" x14ac:dyDescent="0.35">
      <c r="A562" s="1" t="s">
        <v>808</v>
      </c>
      <c r="B562" s="1" t="s">
        <v>628</v>
      </c>
      <c r="C562" s="1">
        <v>378</v>
      </c>
      <c r="D562" s="1">
        <v>7</v>
      </c>
      <c r="E562" s="1" t="s">
        <v>245</v>
      </c>
      <c r="F562" s="1">
        <v>0.50439999999999996</v>
      </c>
      <c r="G562" s="1">
        <v>0</v>
      </c>
      <c r="H562" s="2">
        <v>0.36499999999999999</v>
      </c>
    </row>
    <row r="563" spans="1:8" s="1" customFormat="1" x14ac:dyDescent="0.35">
      <c r="A563" s="1" t="s">
        <v>809</v>
      </c>
      <c r="B563" s="1" t="s">
        <v>628</v>
      </c>
      <c r="C563" s="1">
        <v>352</v>
      </c>
      <c r="D563" s="1">
        <v>2</v>
      </c>
      <c r="E563" s="1" t="s">
        <v>245</v>
      </c>
      <c r="F563" s="1">
        <v>0.58630000000000004</v>
      </c>
      <c r="G563" s="1">
        <v>0</v>
      </c>
      <c r="H563" s="2">
        <v>0.42399999999999999</v>
      </c>
    </row>
    <row r="564" spans="1:8" s="1" customFormat="1" x14ac:dyDescent="0.35">
      <c r="A564" s="1" t="s">
        <v>810</v>
      </c>
      <c r="B564" s="1" t="s">
        <v>628</v>
      </c>
      <c r="C564" s="1">
        <v>233</v>
      </c>
      <c r="D564" s="1">
        <v>3</v>
      </c>
      <c r="E564" s="1" t="s">
        <v>245</v>
      </c>
      <c r="F564" s="1">
        <v>0.54200000000000004</v>
      </c>
      <c r="G564" s="1">
        <v>0</v>
      </c>
      <c r="H564" s="2">
        <v>0.39200000000000002</v>
      </c>
    </row>
    <row r="565" spans="1:8" s="1" customFormat="1" x14ac:dyDescent="0.35">
      <c r="A565" s="1" t="s">
        <v>811</v>
      </c>
      <c r="B565" s="1" t="s">
        <v>628</v>
      </c>
      <c r="C565" s="1">
        <v>161</v>
      </c>
      <c r="D565" s="1">
        <v>6</v>
      </c>
      <c r="E565" s="1" t="s">
        <v>245</v>
      </c>
      <c r="F565" s="1">
        <v>0.628</v>
      </c>
      <c r="G565" s="1">
        <v>0</v>
      </c>
      <c r="H565" s="2">
        <v>0.45400000000000001</v>
      </c>
    </row>
    <row r="566" spans="1:8" s="1" customFormat="1" x14ac:dyDescent="0.35">
      <c r="A566" s="1" t="s">
        <v>812</v>
      </c>
      <c r="B566" s="1" t="s">
        <v>628</v>
      </c>
      <c r="C566" s="1">
        <v>102</v>
      </c>
      <c r="D566" s="1">
        <v>1</v>
      </c>
      <c r="E566" s="1" t="s">
        <v>245</v>
      </c>
      <c r="F566" s="1">
        <v>0.38419999999999999</v>
      </c>
      <c r="G566" s="1">
        <v>0</v>
      </c>
      <c r="H566" s="2">
        <v>0.27800000000000002</v>
      </c>
    </row>
    <row r="567" spans="1:8" s="1" customFormat="1" x14ac:dyDescent="0.35">
      <c r="A567" s="1" t="s">
        <v>813</v>
      </c>
      <c r="B567" s="1" t="s">
        <v>628</v>
      </c>
      <c r="C567" s="1">
        <v>150</v>
      </c>
      <c r="D567" s="1">
        <v>2</v>
      </c>
      <c r="E567" s="1" t="s">
        <v>245</v>
      </c>
      <c r="F567" s="1">
        <v>0.41810000000000003</v>
      </c>
      <c r="G567" s="1">
        <v>0</v>
      </c>
      <c r="H567" s="2">
        <v>0.30199999999999999</v>
      </c>
    </row>
    <row r="568" spans="1:8" s="1" customFormat="1" x14ac:dyDescent="0.35">
      <c r="A568" s="1" t="s">
        <v>814</v>
      </c>
      <c r="B568" s="1" t="s">
        <v>628</v>
      </c>
      <c r="C568" s="1">
        <v>187</v>
      </c>
      <c r="D568" s="1">
        <v>1</v>
      </c>
      <c r="E568" s="1" t="s">
        <v>245</v>
      </c>
      <c r="F568" s="1">
        <v>0.58320000000000005</v>
      </c>
      <c r="G568" s="1">
        <v>0</v>
      </c>
      <c r="H568" s="2">
        <v>0.42099999999999999</v>
      </c>
    </row>
    <row r="569" spans="1:8" s="1" customFormat="1" x14ac:dyDescent="0.35">
      <c r="A569" s="1" t="s">
        <v>815</v>
      </c>
      <c r="B569" s="1" t="s">
        <v>628</v>
      </c>
      <c r="C569" s="1">
        <v>112</v>
      </c>
      <c r="D569" s="1">
        <v>2</v>
      </c>
      <c r="E569" s="1" t="s">
        <v>245</v>
      </c>
      <c r="F569" s="1">
        <v>0.50070000000000003</v>
      </c>
      <c r="G569" s="1">
        <v>0</v>
      </c>
      <c r="H569" s="2">
        <v>0.36199999999999999</v>
      </c>
    </row>
    <row r="570" spans="1:8" s="1" customFormat="1" x14ac:dyDescent="0.35">
      <c r="A570" s="1" t="s">
        <v>816</v>
      </c>
      <c r="B570" s="1" t="s">
        <v>628</v>
      </c>
      <c r="C570" s="1">
        <v>191</v>
      </c>
      <c r="D570" s="1">
        <v>1</v>
      </c>
      <c r="E570" s="1" t="s">
        <v>245</v>
      </c>
      <c r="F570" s="1">
        <v>0.42480000000000001</v>
      </c>
      <c r="G570" s="1">
        <v>0</v>
      </c>
      <c r="H570" s="2">
        <v>0.307</v>
      </c>
    </row>
    <row r="571" spans="1:8" s="1" customFormat="1" x14ac:dyDescent="0.35">
      <c r="A571" s="1" t="s">
        <v>817</v>
      </c>
      <c r="B571" s="1" t="s">
        <v>628</v>
      </c>
      <c r="C571" s="1">
        <v>105</v>
      </c>
      <c r="D571" s="1">
        <v>5</v>
      </c>
      <c r="E571" s="1" t="s">
        <v>245</v>
      </c>
      <c r="F571" s="1">
        <v>0.57989999999999997</v>
      </c>
      <c r="G571" s="1">
        <v>0</v>
      </c>
      <c r="H571" s="2">
        <v>0.41899999999999998</v>
      </c>
    </row>
    <row r="572" spans="1:8" s="1" customFormat="1" x14ac:dyDescent="0.35">
      <c r="A572" s="1" t="s">
        <v>818</v>
      </c>
      <c r="B572" s="1" t="s">
        <v>628</v>
      </c>
      <c r="C572" s="1">
        <v>36</v>
      </c>
      <c r="D572" s="1">
        <v>3</v>
      </c>
      <c r="E572" s="1" t="s">
        <v>245</v>
      </c>
      <c r="F572" s="1">
        <v>0.75660000000000005</v>
      </c>
      <c r="G572" s="1">
        <v>0</v>
      </c>
      <c r="H572" s="2">
        <v>0.54700000000000004</v>
      </c>
    </row>
    <row r="573" spans="1:8" s="1" customFormat="1" x14ac:dyDescent="0.35">
      <c r="A573" s="1" t="s">
        <v>819</v>
      </c>
      <c r="B573" s="1" t="s">
        <v>628</v>
      </c>
      <c r="C573" s="1">
        <v>314</v>
      </c>
      <c r="D573" s="1">
        <v>12</v>
      </c>
      <c r="E573" s="1" t="s">
        <v>245</v>
      </c>
      <c r="F573" s="1">
        <v>0.65500000000000003</v>
      </c>
      <c r="G573" s="1">
        <v>0</v>
      </c>
      <c r="H573" s="2">
        <v>0.47299999999999998</v>
      </c>
    </row>
    <row r="574" spans="1:8" s="1" customFormat="1" x14ac:dyDescent="0.35">
      <c r="A574" s="1" t="s">
        <v>820</v>
      </c>
      <c r="B574" s="1" t="s">
        <v>628</v>
      </c>
      <c r="C574" s="1">
        <v>193</v>
      </c>
      <c r="D574" s="1">
        <v>5</v>
      </c>
      <c r="E574" s="1" t="s">
        <v>245</v>
      </c>
      <c r="F574" s="1">
        <v>0.56710000000000005</v>
      </c>
      <c r="G574" s="1">
        <v>0</v>
      </c>
      <c r="H574" s="2">
        <v>0.41</v>
      </c>
    </row>
    <row r="575" spans="1:8" s="1" customFormat="1" x14ac:dyDescent="0.35">
      <c r="A575" s="1" t="s">
        <v>821</v>
      </c>
      <c r="B575" s="1" t="s">
        <v>628</v>
      </c>
      <c r="C575" s="1">
        <v>431</v>
      </c>
      <c r="D575" s="1">
        <v>1</v>
      </c>
      <c r="E575" s="1" t="s">
        <v>245</v>
      </c>
      <c r="F575" s="1">
        <v>0.50209999999999999</v>
      </c>
      <c r="G575" s="1">
        <v>0</v>
      </c>
      <c r="H575" s="2">
        <v>0.36299999999999999</v>
      </c>
    </row>
    <row r="576" spans="1:8" s="1" customFormat="1" x14ac:dyDescent="0.35">
      <c r="A576" s="1" t="s">
        <v>822</v>
      </c>
      <c r="B576" s="1" t="s">
        <v>628</v>
      </c>
      <c r="C576" s="1">
        <v>15</v>
      </c>
      <c r="D576" s="1">
        <v>3</v>
      </c>
      <c r="E576" s="1" t="s">
        <v>245</v>
      </c>
      <c r="F576" s="1">
        <v>0.51129999999999998</v>
      </c>
      <c r="G576" s="1">
        <v>0</v>
      </c>
      <c r="H576" s="2">
        <v>0.37</v>
      </c>
    </row>
    <row r="577" spans="1:8" s="1" customFormat="1" x14ac:dyDescent="0.35">
      <c r="A577" s="1" t="s">
        <v>823</v>
      </c>
      <c r="B577" s="1" t="s">
        <v>628</v>
      </c>
      <c r="C577" s="1">
        <v>25</v>
      </c>
      <c r="D577" s="1">
        <v>3</v>
      </c>
      <c r="E577" s="1" t="s">
        <v>245</v>
      </c>
      <c r="F577" s="1">
        <v>0.67759999999999998</v>
      </c>
      <c r="G577" s="1">
        <v>0</v>
      </c>
      <c r="H577" s="2">
        <v>0.49</v>
      </c>
    </row>
    <row r="578" spans="1:8" s="1" customFormat="1" x14ac:dyDescent="0.35">
      <c r="A578" s="1" t="s">
        <v>824</v>
      </c>
      <c r="B578" s="1" t="s">
        <v>628</v>
      </c>
      <c r="C578" s="1">
        <v>87</v>
      </c>
      <c r="D578" s="1">
        <v>1</v>
      </c>
      <c r="E578" s="1" t="s">
        <v>245</v>
      </c>
      <c r="F578" s="1">
        <v>0.73219999999999996</v>
      </c>
      <c r="G578" s="1">
        <v>0</v>
      </c>
      <c r="H578" s="2">
        <v>0.52900000000000003</v>
      </c>
    </row>
    <row r="579" spans="1:8" s="1" customFormat="1" x14ac:dyDescent="0.35">
      <c r="A579" s="1" t="s">
        <v>825</v>
      </c>
      <c r="B579" s="1" t="s">
        <v>628</v>
      </c>
      <c r="C579" s="1">
        <v>43</v>
      </c>
      <c r="D579" s="1">
        <v>4</v>
      </c>
      <c r="E579" s="1" t="s">
        <v>245</v>
      </c>
      <c r="F579" s="1">
        <v>0.64410000000000001</v>
      </c>
      <c r="G579" s="1">
        <v>0</v>
      </c>
      <c r="H579" s="2">
        <v>0.46500000000000002</v>
      </c>
    </row>
  </sheetData>
  <conditionalFormatting sqref="A1:A1048576">
    <cfRule type="duplicateValues" dxfId="2" priority="1"/>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BD200-593B-43FD-83A5-A60EF0C6AFFB}">
  <dimension ref="A1:L128"/>
  <sheetViews>
    <sheetView zoomScale="85" zoomScaleNormal="85" workbookViewId="0">
      <selection activeCell="H2" sqref="H1:H2"/>
    </sheetView>
  </sheetViews>
  <sheetFormatPr defaultColWidth="9.1796875" defaultRowHeight="14.5" x14ac:dyDescent="0.35"/>
  <cols>
    <col min="1" max="6" width="15.81640625" customWidth="1"/>
  </cols>
  <sheetData>
    <row r="1" spans="1:12" x14ac:dyDescent="0.35">
      <c r="A1" s="37" t="s">
        <v>11</v>
      </c>
      <c r="B1" s="37" t="s">
        <v>171</v>
      </c>
      <c r="C1" s="37" t="s">
        <v>173</v>
      </c>
      <c r="D1" s="37" t="s">
        <v>175</v>
      </c>
      <c r="E1" s="37" t="s">
        <v>177</v>
      </c>
      <c r="F1" s="37" t="s">
        <v>187</v>
      </c>
      <c r="H1" s="37" t="s">
        <v>836</v>
      </c>
      <c r="L1" s="38"/>
    </row>
    <row r="2" spans="1:12" x14ac:dyDescent="0.35">
      <c r="A2" t="s">
        <v>589</v>
      </c>
      <c r="B2" t="s">
        <v>577</v>
      </c>
      <c r="C2" t="s">
        <v>494</v>
      </c>
      <c r="D2" t="s">
        <v>372</v>
      </c>
      <c r="E2" t="s">
        <v>300</v>
      </c>
      <c r="F2" t="s">
        <v>244</v>
      </c>
      <c r="H2" t="s">
        <v>827</v>
      </c>
    </row>
    <row r="3" spans="1:12" x14ac:dyDescent="0.35">
      <c r="A3" t="s">
        <v>588</v>
      </c>
      <c r="B3" t="s">
        <v>540</v>
      </c>
      <c r="C3" t="s">
        <v>452</v>
      </c>
      <c r="D3" t="s">
        <v>342</v>
      </c>
      <c r="E3" t="s">
        <v>303</v>
      </c>
      <c r="F3" t="s">
        <v>262</v>
      </c>
    </row>
    <row r="4" spans="1:12" x14ac:dyDescent="0.35">
      <c r="A4" t="s">
        <v>615</v>
      </c>
      <c r="B4" t="s">
        <v>570</v>
      </c>
      <c r="C4" t="s">
        <v>470</v>
      </c>
      <c r="D4" t="s">
        <v>360</v>
      </c>
      <c r="E4" t="s">
        <v>308</v>
      </c>
      <c r="F4" t="s">
        <v>264</v>
      </c>
    </row>
    <row r="5" spans="1:12" x14ac:dyDescent="0.35">
      <c r="A5" t="s">
        <v>596</v>
      </c>
      <c r="B5" t="s">
        <v>575</v>
      </c>
      <c r="C5" t="s">
        <v>453</v>
      </c>
      <c r="D5" t="s">
        <v>363</v>
      </c>
      <c r="E5" t="s">
        <v>314</v>
      </c>
      <c r="F5" t="s">
        <v>265</v>
      </c>
    </row>
    <row r="6" spans="1:12" x14ac:dyDescent="0.35">
      <c r="A6" t="s">
        <v>612</v>
      </c>
      <c r="B6" t="s">
        <v>574</v>
      </c>
      <c r="C6" t="s">
        <v>447</v>
      </c>
      <c r="D6" t="s">
        <v>352</v>
      </c>
      <c r="E6" t="s">
        <v>292</v>
      </c>
      <c r="F6" t="s">
        <v>248</v>
      </c>
    </row>
    <row r="7" spans="1:12" x14ac:dyDescent="0.35">
      <c r="A7" t="s">
        <v>610</v>
      </c>
      <c r="B7" t="s">
        <v>530</v>
      </c>
      <c r="C7" t="s">
        <v>451</v>
      </c>
      <c r="D7" t="s">
        <v>393</v>
      </c>
      <c r="E7" t="s">
        <v>285</v>
      </c>
      <c r="F7" t="s">
        <v>266</v>
      </c>
    </row>
    <row r="8" spans="1:12" x14ac:dyDescent="0.35">
      <c r="A8" t="s">
        <v>586</v>
      </c>
      <c r="B8" t="s">
        <v>569</v>
      </c>
      <c r="C8" t="s">
        <v>487</v>
      </c>
      <c r="D8" t="s">
        <v>353</v>
      </c>
      <c r="E8" t="s">
        <v>306</v>
      </c>
      <c r="F8" t="s">
        <v>251</v>
      </c>
    </row>
    <row r="9" spans="1:12" x14ac:dyDescent="0.35">
      <c r="A9" t="s">
        <v>584</v>
      </c>
      <c r="B9" t="s">
        <v>565</v>
      </c>
      <c r="C9" t="s">
        <v>475</v>
      </c>
      <c r="D9" t="s">
        <v>325</v>
      </c>
      <c r="E9" t="s">
        <v>288</v>
      </c>
      <c r="F9" t="s">
        <v>252</v>
      </c>
    </row>
    <row r="10" spans="1:12" x14ac:dyDescent="0.35">
      <c r="A10" t="s">
        <v>622</v>
      </c>
      <c r="B10" t="s">
        <v>549</v>
      </c>
      <c r="C10" t="s">
        <v>495</v>
      </c>
      <c r="D10" t="s">
        <v>442</v>
      </c>
      <c r="E10" t="s">
        <v>304</v>
      </c>
      <c r="F10" t="s">
        <v>247</v>
      </c>
    </row>
    <row r="11" spans="1:12" x14ac:dyDescent="0.35">
      <c r="A11" t="s">
        <v>616</v>
      </c>
      <c r="B11" t="s">
        <v>572</v>
      </c>
      <c r="C11" t="s">
        <v>462</v>
      </c>
      <c r="D11" t="s">
        <v>424</v>
      </c>
      <c r="E11" t="s">
        <v>289</v>
      </c>
      <c r="F11" t="s">
        <v>249</v>
      </c>
    </row>
    <row r="12" spans="1:12" x14ac:dyDescent="0.35">
      <c r="A12" t="s">
        <v>600</v>
      </c>
      <c r="B12" t="s">
        <v>537</v>
      </c>
      <c r="C12" t="s">
        <v>474</v>
      </c>
      <c r="D12" t="s">
        <v>343</v>
      </c>
      <c r="E12" t="s">
        <v>290</v>
      </c>
      <c r="F12" t="s">
        <v>267</v>
      </c>
    </row>
    <row r="13" spans="1:12" x14ac:dyDescent="0.35">
      <c r="A13" t="s">
        <v>602</v>
      </c>
      <c r="B13" t="s">
        <v>532</v>
      </c>
      <c r="C13" t="s">
        <v>481</v>
      </c>
      <c r="D13" t="s">
        <v>379</v>
      </c>
      <c r="E13" t="s">
        <v>295</v>
      </c>
      <c r="F13" t="s">
        <v>253</v>
      </c>
    </row>
    <row r="14" spans="1:12" x14ac:dyDescent="0.35">
      <c r="A14" t="s">
        <v>603</v>
      </c>
      <c r="B14" t="s">
        <v>521</v>
      </c>
      <c r="C14" t="s">
        <v>502</v>
      </c>
      <c r="D14" t="s">
        <v>398</v>
      </c>
      <c r="E14" t="s">
        <v>287</v>
      </c>
      <c r="F14" t="s">
        <v>274</v>
      </c>
    </row>
    <row r="15" spans="1:12" x14ac:dyDescent="0.35">
      <c r="A15" t="s">
        <v>591</v>
      </c>
      <c r="B15" t="s">
        <v>560</v>
      </c>
      <c r="C15" t="s">
        <v>466</v>
      </c>
      <c r="D15" t="s">
        <v>407</v>
      </c>
      <c r="E15" t="s">
        <v>309</v>
      </c>
      <c r="F15" t="s">
        <v>254</v>
      </c>
    </row>
    <row r="16" spans="1:12" x14ac:dyDescent="0.35">
      <c r="A16" t="s">
        <v>594</v>
      </c>
      <c r="B16" t="s">
        <v>571</v>
      </c>
      <c r="C16" t="s">
        <v>450</v>
      </c>
      <c r="D16" t="s">
        <v>341</v>
      </c>
      <c r="E16" t="s">
        <v>315</v>
      </c>
      <c r="F16" t="s">
        <v>255</v>
      </c>
    </row>
    <row r="17" spans="1:6" x14ac:dyDescent="0.35">
      <c r="A17" t="s">
        <v>619</v>
      </c>
      <c r="B17" t="s">
        <v>561</v>
      </c>
      <c r="C17" t="s">
        <v>448</v>
      </c>
      <c r="D17" t="s">
        <v>324</v>
      </c>
      <c r="E17" t="s">
        <v>299</v>
      </c>
      <c r="F17" t="s">
        <v>246</v>
      </c>
    </row>
    <row r="18" spans="1:6" x14ac:dyDescent="0.35">
      <c r="A18" t="s">
        <v>620</v>
      </c>
      <c r="B18" t="s">
        <v>566</v>
      </c>
      <c r="C18" t="s">
        <v>491</v>
      </c>
      <c r="D18" t="s">
        <v>391</v>
      </c>
      <c r="E18" t="s">
        <v>302</v>
      </c>
      <c r="F18" t="s">
        <v>250</v>
      </c>
    </row>
    <row r="19" spans="1:6" x14ac:dyDescent="0.35">
      <c r="A19" t="s">
        <v>617</v>
      </c>
      <c r="B19" t="s">
        <v>522</v>
      </c>
      <c r="C19" t="s">
        <v>480</v>
      </c>
      <c r="D19" t="s">
        <v>397</v>
      </c>
      <c r="E19" t="s">
        <v>316</v>
      </c>
      <c r="F19" t="s">
        <v>270</v>
      </c>
    </row>
    <row r="20" spans="1:6" x14ac:dyDescent="0.35">
      <c r="A20" t="s">
        <v>621</v>
      </c>
      <c r="B20" t="s">
        <v>562</v>
      </c>
      <c r="C20" t="s">
        <v>483</v>
      </c>
      <c r="D20" t="s">
        <v>396</v>
      </c>
      <c r="E20" t="s">
        <v>283</v>
      </c>
      <c r="F20" t="s">
        <v>258</v>
      </c>
    </row>
    <row r="21" spans="1:6" x14ac:dyDescent="0.35">
      <c r="A21" t="s">
        <v>601</v>
      </c>
      <c r="B21" t="s">
        <v>523</v>
      </c>
      <c r="C21" t="s">
        <v>482</v>
      </c>
      <c r="D21" t="s">
        <v>428</v>
      </c>
      <c r="E21" t="s">
        <v>307</v>
      </c>
      <c r="F21" t="s">
        <v>279</v>
      </c>
    </row>
    <row r="22" spans="1:6" x14ac:dyDescent="0.35">
      <c r="A22" t="s">
        <v>604</v>
      </c>
      <c r="B22" t="s">
        <v>541</v>
      </c>
      <c r="C22" t="s">
        <v>449</v>
      </c>
      <c r="D22" t="s">
        <v>365</v>
      </c>
      <c r="E22" t="s">
        <v>311</v>
      </c>
      <c r="F22" t="s">
        <v>271</v>
      </c>
    </row>
    <row r="23" spans="1:6" x14ac:dyDescent="0.35">
      <c r="A23" t="s">
        <v>618</v>
      </c>
      <c r="B23" t="s">
        <v>533</v>
      </c>
      <c r="C23" t="s">
        <v>472</v>
      </c>
      <c r="D23" t="s">
        <v>416</v>
      </c>
      <c r="E23" t="s">
        <v>281</v>
      </c>
      <c r="F23" t="s">
        <v>275</v>
      </c>
    </row>
    <row r="24" spans="1:6" x14ac:dyDescent="0.35">
      <c r="A24" t="s">
        <v>598</v>
      </c>
      <c r="B24" t="s">
        <v>564</v>
      </c>
      <c r="C24" t="s">
        <v>454</v>
      </c>
      <c r="D24" t="s">
        <v>421</v>
      </c>
      <c r="E24" t="s">
        <v>296</v>
      </c>
      <c r="F24" t="s">
        <v>256</v>
      </c>
    </row>
    <row r="25" spans="1:6" x14ac:dyDescent="0.35">
      <c r="A25" t="s">
        <v>624</v>
      </c>
      <c r="B25" t="s">
        <v>538</v>
      </c>
      <c r="C25" t="s">
        <v>457</v>
      </c>
      <c r="D25" t="s">
        <v>429</v>
      </c>
      <c r="E25" t="s">
        <v>282</v>
      </c>
      <c r="F25" t="s">
        <v>257</v>
      </c>
    </row>
    <row r="26" spans="1:6" x14ac:dyDescent="0.35">
      <c r="A26" t="s">
        <v>590</v>
      </c>
      <c r="B26" t="s">
        <v>548</v>
      </c>
      <c r="C26" t="s">
        <v>461</v>
      </c>
      <c r="D26" t="s">
        <v>338</v>
      </c>
      <c r="E26" t="s">
        <v>298</v>
      </c>
      <c r="F26" t="s">
        <v>263</v>
      </c>
    </row>
    <row r="27" spans="1:6" x14ac:dyDescent="0.35">
      <c r="A27" t="s">
        <v>605</v>
      </c>
      <c r="B27" t="s">
        <v>524</v>
      </c>
      <c r="C27" t="s">
        <v>446</v>
      </c>
      <c r="D27" t="s">
        <v>371</v>
      </c>
      <c r="E27" t="s">
        <v>312</v>
      </c>
      <c r="F27" t="s">
        <v>268</v>
      </c>
    </row>
    <row r="28" spans="1:6" x14ac:dyDescent="0.35">
      <c r="A28" t="s">
        <v>613</v>
      </c>
      <c r="B28" t="s">
        <v>550</v>
      </c>
      <c r="C28" t="s">
        <v>456</v>
      </c>
      <c r="D28" t="s">
        <v>322</v>
      </c>
      <c r="E28" t="s">
        <v>317</v>
      </c>
      <c r="F28" t="s">
        <v>278</v>
      </c>
    </row>
    <row r="29" spans="1:6" x14ac:dyDescent="0.35">
      <c r="A29" t="s">
        <v>593</v>
      </c>
      <c r="B29" t="s">
        <v>511</v>
      </c>
      <c r="C29" t="s">
        <v>460</v>
      </c>
      <c r="D29" t="s">
        <v>339</v>
      </c>
      <c r="E29" t="s">
        <v>313</v>
      </c>
      <c r="F29" t="s">
        <v>259</v>
      </c>
    </row>
    <row r="30" spans="1:6" x14ac:dyDescent="0.35">
      <c r="A30" t="s">
        <v>582</v>
      </c>
      <c r="B30" t="s">
        <v>512</v>
      </c>
      <c r="C30" t="s">
        <v>473</v>
      </c>
      <c r="D30" t="s">
        <v>366</v>
      </c>
      <c r="E30" t="s">
        <v>305</v>
      </c>
      <c r="F30" t="s">
        <v>277</v>
      </c>
    </row>
    <row r="31" spans="1:6" x14ac:dyDescent="0.35">
      <c r="A31" t="s">
        <v>592</v>
      </c>
      <c r="B31" t="s">
        <v>567</v>
      </c>
      <c r="C31" t="s">
        <v>488</v>
      </c>
      <c r="D31" t="s">
        <v>381</v>
      </c>
      <c r="E31" t="s">
        <v>310</v>
      </c>
      <c r="F31" t="s">
        <v>269</v>
      </c>
    </row>
    <row r="32" spans="1:6" x14ac:dyDescent="0.35">
      <c r="A32" t="s">
        <v>626</v>
      </c>
      <c r="B32" t="s">
        <v>568</v>
      </c>
      <c r="C32" t="s">
        <v>510</v>
      </c>
      <c r="D32" t="s">
        <v>326</v>
      </c>
      <c r="E32" t="s">
        <v>293</v>
      </c>
      <c r="F32" t="s">
        <v>260</v>
      </c>
    </row>
    <row r="33" spans="1:6" x14ac:dyDescent="0.35">
      <c r="A33" t="s">
        <v>587</v>
      </c>
      <c r="B33" t="s">
        <v>545</v>
      </c>
      <c r="C33" t="s">
        <v>497</v>
      </c>
      <c r="D33" t="s">
        <v>361</v>
      </c>
      <c r="E33" t="s">
        <v>280</v>
      </c>
      <c r="F33" t="s">
        <v>272</v>
      </c>
    </row>
    <row r="34" spans="1:6" x14ac:dyDescent="0.35">
      <c r="A34" t="s">
        <v>614</v>
      </c>
      <c r="B34" t="s">
        <v>525</v>
      </c>
      <c r="C34" t="s">
        <v>496</v>
      </c>
      <c r="D34" t="s">
        <v>437</v>
      </c>
      <c r="E34" t="s">
        <v>301</v>
      </c>
      <c r="F34" t="s">
        <v>273</v>
      </c>
    </row>
    <row r="35" spans="1:6" x14ac:dyDescent="0.35">
      <c r="A35" t="s">
        <v>595</v>
      </c>
      <c r="B35" t="s">
        <v>513</v>
      </c>
      <c r="C35" t="s">
        <v>498</v>
      </c>
      <c r="D35" t="s">
        <v>418</v>
      </c>
      <c r="E35" t="s">
        <v>318</v>
      </c>
      <c r="F35" t="s">
        <v>261</v>
      </c>
    </row>
    <row r="36" spans="1:6" x14ac:dyDescent="0.35">
      <c r="A36" t="s">
        <v>606</v>
      </c>
      <c r="B36" t="s">
        <v>514</v>
      </c>
      <c r="C36" t="s">
        <v>499</v>
      </c>
      <c r="D36" t="s">
        <v>382</v>
      </c>
      <c r="E36" t="s">
        <v>319</v>
      </c>
    </row>
    <row r="37" spans="1:6" x14ac:dyDescent="0.35">
      <c r="A37" t="s">
        <v>581</v>
      </c>
      <c r="B37" t="s">
        <v>552</v>
      </c>
      <c r="C37" t="s">
        <v>503</v>
      </c>
      <c r="D37" t="s">
        <v>348</v>
      </c>
      <c r="E37" t="s">
        <v>284</v>
      </c>
    </row>
    <row r="38" spans="1:6" x14ac:dyDescent="0.35">
      <c r="A38" t="s">
        <v>625</v>
      </c>
      <c r="B38" t="s">
        <v>546</v>
      </c>
      <c r="C38" t="s">
        <v>464</v>
      </c>
      <c r="D38" t="s">
        <v>427</v>
      </c>
      <c r="E38" t="s">
        <v>291</v>
      </c>
    </row>
    <row r="39" spans="1:6" x14ac:dyDescent="0.35">
      <c r="A39" t="s">
        <v>623</v>
      </c>
      <c r="B39" t="s">
        <v>542</v>
      </c>
      <c r="C39" t="s">
        <v>465</v>
      </c>
      <c r="D39" t="s">
        <v>415</v>
      </c>
      <c r="E39" t="s">
        <v>294</v>
      </c>
    </row>
    <row r="40" spans="1:6" x14ac:dyDescent="0.35">
      <c r="A40" t="s">
        <v>607</v>
      </c>
      <c r="B40" t="s">
        <v>563</v>
      </c>
      <c r="C40" t="s">
        <v>501</v>
      </c>
      <c r="D40" t="s">
        <v>386</v>
      </c>
      <c r="E40" t="s">
        <v>286</v>
      </c>
    </row>
    <row r="41" spans="1:6" x14ac:dyDescent="0.35">
      <c r="A41" t="s">
        <v>608</v>
      </c>
      <c r="B41" t="s">
        <v>551</v>
      </c>
      <c r="C41" t="s">
        <v>504</v>
      </c>
      <c r="D41" t="s">
        <v>399</v>
      </c>
      <c r="E41" t="s">
        <v>297</v>
      </c>
    </row>
    <row r="42" spans="1:6" x14ac:dyDescent="0.35">
      <c r="A42" t="s">
        <v>585</v>
      </c>
      <c r="B42" t="s">
        <v>579</v>
      </c>
      <c r="C42" t="s">
        <v>509</v>
      </c>
      <c r="D42" t="s">
        <v>384</v>
      </c>
    </row>
    <row r="43" spans="1:6" x14ac:dyDescent="0.35">
      <c r="A43" t="s">
        <v>609</v>
      </c>
      <c r="B43" t="s">
        <v>534</v>
      </c>
      <c r="C43" t="s">
        <v>455</v>
      </c>
      <c r="D43" t="s">
        <v>349</v>
      </c>
    </row>
    <row r="44" spans="1:6" x14ac:dyDescent="0.35">
      <c r="A44" t="s">
        <v>597</v>
      </c>
      <c r="B44" t="s">
        <v>553</v>
      </c>
      <c r="C44" t="s">
        <v>458</v>
      </c>
      <c r="D44" t="s">
        <v>387</v>
      </c>
    </row>
    <row r="45" spans="1:6" x14ac:dyDescent="0.35">
      <c r="A45" t="s">
        <v>583</v>
      </c>
      <c r="B45" t="s">
        <v>544</v>
      </c>
      <c r="C45" t="s">
        <v>468</v>
      </c>
      <c r="D45" t="s">
        <v>431</v>
      </c>
    </row>
    <row r="46" spans="1:6" x14ac:dyDescent="0.35">
      <c r="A46" t="s">
        <v>611</v>
      </c>
      <c r="B46" t="s">
        <v>515</v>
      </c>
      <c r="C46" t="s">
        <v>463</v>
      </c>
      <c r="D46" t="s">
        <v>362</v>
      </c>
    </row>
    <row r="47" spans="1:6" x14ac:dyDescent="0.35">
      <c r="A47" t="s">
        <v>13</v>
      </c>
      <c r="B47" t="s">
        <v>554</v>
      </c>
      <c r="C47" t="s">
        <v>486</v>
      </c>
      <c r="D47" t="s">
        <v>354</v>
      </c>
    </row>
    <row r="48" spans="1:6" x14ac:dyDescent="0.35">
      <c r="B48" t="s">
        <v>555</v>
      </c>
      <c r="C48" t="s">
        <v>477</v>
      </c>
      <c r="D48" t="s">
        <v>410</v>
      </c>
    </row>
    <row r="49" spans="2:4" x14ac:dyDescent="0.35">
      <c r="B49" t="s">
        <v>576</v>
      </c>
      <c r="C49" t="s">
        <v>459</v>
      </c>
      <c r="D49" t="s">
        <v>443</v>
      </c>
    </row>
    <row r="50" spans="2:4" x14ac:dyDescent="0.35">
      <c r="B50" t="s">
        <v>526</v>
      </c>
      <c r="C50" t="s">
        <v>469</v>
      </c>
      <c r="D50" t="s">
        <v>507</v>
      </c>
    </row>
    <row r="51" spans="2:4" x14ac:dyDescent="0.35">
      <c r="B51" t="s">
        <v>580</v>
      </c>
      <c r="C51" t="s">
        <v>500</v>
      </c>
      <c r="D51" t="s">
        <v>412</v>
      </c>
    </row>
    <row r="52" spans="2:4" x14ac:dyDescent="0.35">
      <c r="B52" t="s">
        <v>556</v>
      </c>
      <c r="C52" t="s">
        <v>489</v>
      </c>
      <c r="D52" t="s">
        <v>409</v>
      </c>
    </row>
    <row r="53" spans="2:4" x14ac:dyDescent="0.35">
      <c r="B53" t="s">
        <v>516</v>
      </c>
      <c r="C53" t="s">
        <v>493</v>
      </c>
      <c r="D53" t="s">
        <v>388</v>
      </c>
    </row>
    <row r="54" spans="2:4" x14ac:dyDescent="0.35">
      <c r="B54" t="s">
        <v>527</v>
      </c>
      <c r="C54" t="s">
        <v>476</v>
      </c>
      <c r="D54" t="s">
        <v>327</v>
      </c>
    </row>
    <row r="55" spans="2:4" x14ac:dyDescent="0.35">
      <c r="B55" t="s">
        <v>517</v>
      </c>
      <c r="C55" t="s">
        <v>467</v>
      </c>
      <c r="D55" t="s">
        <v>405</v>
      </c>
    </row>
    <row r="56" spans="2:4" x14ac:dyDescent="0.35">
      <c r="B56" t="s">
        <v>535</v>
      </c>
      <c r="C56" t="s">
        <v>484</v>
      </c>
      <c r="D56" t="s">
        <v>383</v>
      </c>
    </row>
    <row r="57" spans="2:4" x14ac:dyDescent="0.35">
      <c r="B57" t="s">
        <v>518</v>
      </c>
      <c r="C57" t="s">
        <v>479</v>
      </c>
      <c r="D57" t="s">
        <v>374</v>
      </c>
    </row>
    <row r="58" spans="2:4" x14ac:dyDescent="0.35">
      <c r="B58" t="s">
        <v>528</v>
      </c>
      <c r="C58" t="s">
        <v>492</v>
      </c>
      <c r="D58" t="s">
        <v>385</v>
      </c>
    </row>
    <row r="59" spans="2:4" x14ac:dyDescent="0.35">
      <c r="B59" t="s">
        <v>557</v>
      </c>
      <c r="C59" t="s">
        <v>478</v>
      </c>
      <c r="D59" t="s">
        <v>419</v>
      </c>
    </row>
    <row r="60" spans="2:4" x14ac:dyDescent="0.35">
      <c r="B60" t="s">
        <v>558</v>
      </c>
      <c r="C60" t="s">
        <v>505</v>
      </c>
      <c r="D60" t="s">
        <v>426</v>
      </c>
    </row>
    <row r="61" spans="2:4" x14ac:dyDescent="0.35">
      <c r="B61" t="s">
        <v>531</v>
      </c>
      <c r="C61" t="s">
        <v>485</v>
      </c>
      <c r="D61" t="s">
        <v>508</v>
      </c>
    </row>
    <row r="62" spans="2:4" x14ac:dyDescent="0.35">
      <c r="B62" t="s">
        <v>519</v>
      </c>
      <c r="C62" t="s">
        <v>471</v>
      </c>
      <c r="D62" t="s">
        <v>380</v>
      </c>
    </row>
    <row r="63" spans="2:4" x14ac:dyDescent="0.35">
      <c r="B63" t="s">
        <v>539</v>
      </c>
      <c r="C63" t="s">
        <v>506</v>
      </c>
      <c r="D63" t="s">
        <v>425</v>
      </c>
    </row>
    <row r="64" spans="2:4" x14ac:dyDescent="0.35">
      <c r="B64" t="s">
        <v>520</v>
      </c>
      <c r="C64" t="s">
        <v>490</v>
      </c>
      <c r="D64" t="s">
        <v>403</v>
      </c>
    </row>
    <row r="65" spans="2:4" x14ac:dyDescent="0.35">
      <c r="B65" t="s">
        <v>529</v>
      </c>
      <c r="D65" t="s">
        <v>423</v>
      </c>
    </row>
    <row r="66" spans="2:4" x14ac:dyDescent="0.35">
      <c r="B66" t="s">
        <v>573</v>
      </c>
      <c r="D66" t="s">
        <v>400</v>
      </c>
    </row>
    <row r="67" spans="2:4" x14ac:dyDescent="0.35">
      <c r="B67" t="s">
        <v>536</v>
      </c>
      <c r="D67" t="s">
        <v>340</v>
      </c>
    </row>
    <row r="68" spans="2:4" x14ac:dyDescent="0.35">
      <c r="B68" t="s">
        <v>543</v>
      </c>
      <c r="D68" t="s">
        <v>320</v>
      </c>
    </row>
    <row r="69" spans="2:4" x14ac:dyDescent="0.35">
      <c r="B69" t="s">
        <v>578</v>
      </c>
      <c r="D69" t="s">
        <v>333</v>
      </c>
    </row>
    <row r="70" spans="2:4" x14ac:dyDescent="0.35">
      <c r="B70" t="s">
        <v>559</v>
      </c>
      <c r="D70" t="s">
        <v>359</v>
      </c>
    </row>
    <row r="71" spans="2:4" x14ac:dyDescent="0.35">
      <c r="B71" t="s">
        <v>547</v>
      </c>
      <c r="D71" t="s">
        <v>364</v>
      </c>
    </row>
    <row r="72" spans="2:4" x14ac:dyDescent="0.35">
      <c r="D72" t="s">
        <v>344</v>
      </c>
    </row>
    <row r="73" spans="2:4" x14ac:dyDescent="0.35">
      <c r="D73" t="s">
        <v>335</v>
      </c>
    </row>
    <row r="74" spans="2:4" x14ac:dyDescent="0.35">
      <c r="D74" t="s">
        <v>367</v>
      </c>
    </row>
    <row r="75" spans="2:4" x14ac:dyDescent="0.35">
      <c r="D75" t="s">
        <v>368</v>
      </c>
    </row>
    <row r="76" spans="2:4" x14ac:dyDescent="0.35">
      <c r="D76" t="s">
        <v>413</v>
      </c>
    </row>
    <row r="77" spans="2:4" x14ac:dyDescent="0.35">
      <c r="D77" t="s">
        <v>328</v>
      </c>
    </row>
    <row r="78" spans="2:4" x14ac:dyDescent="0.35">
      <c r="D78" t="s">
        <v>358</v>
      </c>
    </row>
    <row r="79" spans="2:4" x14ac:dyDescent="0.35">
      <c r="D79" t="s">
        <v>439</v>
      </c>
    </row>
    <row r="80" spans="2:4" x14ac:dyDescent="0.35">
      <c r="D80" t="s">
        <v>441</v>
      </c>
    </row>
    <row r="81" spans="4:4" x14ac:dyDescent="0.35">
      <c r="D81" t="s">
        <v>329</v>
      </c>
    </row>
    <row r="82" spans="4:4" x14ac:dyDescent="0.35">
      <c r="D82" t="s">
        <v>420</v>
      </c>
    </row>
    <row r="83" spans="4:4" x14ac:dyDescent="0.35">
      <c r="D83" t="s">
        <v>404</v>
      </c>
    </row>
    <row r="84" spans="4:4" x14ac:dyDescent="0.35">
      <c r="D84" t="s">
        <v>438</v>
      </c>
    </row>
    <row r="85" spans="4:4" x14ac:dyDescent="0.35">
      <c r="D85" t="s">
        <v>351</v>
      </c>
    </row>
    <row r="86" spans="4:4" x14ac:dyDescent="0.35">
      <c r="D86" t="s">
        <v>435</v>
      </c>
    </row>
    <row r="87" spans="4:4" x14ac:dyDescent="0.35">
      <c r="D87" t="s">
        <v>347</v>
      </c>
    </row>
    <row r="88" spans="4:4" x14ac:dyDescent="0.35">
      <c r="D88" t="s">
        <v>444</v>
      </c>
    </row>
    <row r="89" spans="4:4" x14ac:dyDescent="0.35">
      <c r="D89" t="s">
        <v>331</v>
      </c>
    </row>
    <row r="90" spans="4:4" x14ac:dyDescent="0.35">
      <c r="D90" t="s">
        <v>369</v>
      </c>
    </row>
    <row r="91" spans="4:4" x14ac:dyDescent="0.35">
      <c r="D91" t="s">
        <v>390</v>
      </c>
    </row>
    <row r="92" spans="4:4" x14ac:dyDescent="0.35">
      <c r="D92" t="s">
        <v>395</v>
      </c>
    </row>
    <row r="93" spans="4:4" x14ac:dyDescent="0.35">
      <c r="D93" t="s">
        <v>408</v>
      </c>
    </row>
    <row r="94" spans="4:4" x14ac:dyDescent="0.35">
      <c r="D94" t="s">
        <v>436</v>
      </c>
    </row>
    <row r="95" spans="4:4" x14ac:dyDescent="0.35">
      <c r="D95" t="s">
        <v>330</v>
      </c>
    </row>
    <row r="96" spans="4:4" x14ac:dyDescent="0.35">
      <c r="D96" t="s">
        <v>392</v>
      </c>
    </row>
    <row r="97" spans="4:4" x14ac:dyDescent="0.35">
      <c r="D97" t="s">
        <v>414</v>
      </c>
    </row>
    <row r="98" spans="4:4" x14ac:dyDescent="0.35">
      <c r="D98" t="s">
        <v>378</v>
      </c>
    </row>
    <row r="99" spans="4:4" x14ac:dyDescent="0.35">
      <c r="D99" t="s">
        <v>411</v>
      </c>
    </row>
    <row r="100" spans="4:4" x14ac:dyDescent="0.35">
      <c r="D100" t="s">
        <v>323</v>
      </c>
    </row>
    <row r="101" spans="4:4" x14ac:dyDescent="0.35">
      <c r="D101" t="s">
        <v>332</v>
      </c>
    </row>
    <row r="102" spans="4:4" x14ac:dyDescent="0.35">
      <c r="D102" t="s">
        <v>401</v>
      </c>
    </row>
    <row r="103" spans="4:4" x14ac:dyDescent="0.35">
      <c r="D103" t="s">
        <v>337</v>
      </c>
    </row>
    <row r="104" spans="4:4" x14ac:dyDescent="0.35">
      <c r="D104" t="s">
        <v>376</v>
      </c>
    </row>
    <row r="105" spans="4:4" x14ac:dyDescent="0.35">
      <c r="D105" t="s">
        <v>377</v>
      </c>
    </row>
    <row r="106" spans="4:4" x14ac:dyDescent="0.35">
      <c r="D106" t="s">
        <v>355</v>
      </c>
    </row>
    <row r="107" spans="4:4" x14ac:dyDescent="0.35">
      <c r="D107" t="s">
        <v>321</v>
      </c>
    </row>
    <row r="108" spans="4:4" x14ac:dyDescent="0.35">
      <c r="D108" t="s">
        <v>445</v>
      </c>
    </row>
    <row r="109" spans="4:4" x14ac:dyDescent="0.35">
      <c r="D109" t="s">
        <v>345</v>
      </c>
    </row>
    <row r="110" spans="4:4" x14ac:dyDescent="0.35">
      <c r="D110" t="s">
        <v>422</v>
      </c>
    </row>
    <row r="111" spans="4:4" x14ac:dyDescent="0.35">
      <c r="D111" t="s">
        <v>402</v>
      </c>
    </row>
    <row r="112" spans="4:4" x14ac:dyDescent="0.35">
      <c r="D112" t="s">
        <v>350</v>
      </c>
    </row>
    <row r="113" spans="4:4" x14ac:dyDescent="0.35">
      <c r="D113" t="s">
        <v>356</v>
      </c>
    </row>
    <row r="114" spans="4:4" x14ac:dyDescent="0.35">
      <c r="D114" t="s">
        <v>357</v>
      </c>
    </row>
    <row r="115" spans="4:4" x14ac:dyDescent="0.35">
      <c r="D115" t="s">
        <v>433</v>
      </c>
    </row>
    <row r="116" spans="4:4" x14ac:dyDescent="0.35">
      <c r="D116" t="s">
        <v>432</v>
      </c>
    </row>
    <row r="117" spans="4:4" x14ac:dyDescent="0.35">
      <c r="D117" t="s">
        <v>334</v>
      </c>
    </row>
    <row r="118" spans="4:4" x14ac:dyDescent="0.35">
      <c r="D118" t="s">
        <v>370</v>
      </c>
    </row>
    <row r="119" spans="4:4" x14ac:dyDescent="0.35">
      <c r="D119" t="s">
        <v>406</v>
      </c>
    </row>
    <row r="120" spans="4:4" x14ac:dyDescent="0.35">
      <c r="D120" t="s">
        <v>336</v>
      </c>
    </row>
    <row r="121" spans="4:4" x14ac:dyDescent="0.35">
      <c r="D121" t="s">
        <v>434</v>
      </c>
    </row>
    <row r="122" spans="4:4" x14ac:dyDescent="0.35">
      <c r="D122" t="s">
        <v>440</v>
      </c>
    </row>
    <row r="123" spans="4:4" x14ac:dyDescent="0.35">
      <c r="D123" t="s">
        <v>346</v>
      </c>
    </row>
    <row r="124" spans="4:4" x14ac:dyDescent="0.35">
      <c r="D124" t="s">
        <v>430</v>
      </c>
    </row>
    <row r="125" spans="4:4" x14ac:dyDescent="0.35">
      <c r="D125" t="s">
        <v>389</v>
      </c>
    </row>
    <row r="126" spans="4:4" x14ac:dyDescent="0.35">
      <c r="D126" t="s">
        <v>375</v>
      </c>
    </row>
    <row r="127" spans="4:4" x14ac:dyDescent="0.35">
      <c r="D127" t="s">
        <v>417</v>
      </c>
    </row>
    <row r="128" spans="4:4" x14ac:dyDescent="0.35">
      <c r="D128" t="s">
        <v>373</v>
      </c>
    </row>
  </sheetData>
  <sortState xmlns:xlrd2="http://schemas.microsoft.com/office/spreadsheetml/2017/richdata2" ref="L2:L381">
    <sortCondition ref="L2:L381"/>
  </sortState>
  <conditionalFormatting sqref="A1:A578">
    <cfRule type="duplicateValues" dxfId="1" priority="2"/>
  </conditionalFormatting>
  <conditionalFormatting sqref="L2:L47">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321A4-2192-47E8-943D-FE998402C57C}">
  <sheetPr>
    <tabColor rgb="FFFF0000"/>
  </sheetPr>
  <dimension ref="A2:E30"/>
  <sheetViews>
    <sheetView zoomScale="70" zoomScaleNormal="70" workbookViewId="0">
      <selection activeCell="A23" sqref="A23"/>
    </sheetView>
  </sheetViews>
  <sheetFormatPr defaultRowHeight="14.5" x14ac:dyDescent="0.35"/>
  <cols>
    <col min="1" max="1" width="40.453125" style="111" customWidth="1"/>
    <col min="2" max="2" width="50" customWidth="1"/>
    <col min="3" max="3" width="39.1796875" customWidth="1"/>
  </cols>
  <sheetData>
    <row r="2" spans="1:5" ht="21" x14ac:dyDescent="0.35">
      <c r="A2" s="112" t="s">
        <v>9</v>
      </c>
      <c r="B2" s="22"/>
    </row>
    <row r="3" spans="1:5" x14ac:dyDescent="0.35">
      <c r="A3" s="23" t="s">
        <v>10</v>
      </c>
      <c r="B3" s="120" t="s">
        <v>11</v>
      </c>
    </row>
    <row r="4" spans="1:5" ht="35.25" customHeight="1" x14ac:dyDescent="0.35">
      <c r="A4" s="23" t="s">
        <v>12</v>
      </c>
      <c r="B4" s="121" t="s">
        <v>583</v>
      </c>
      <c r="C4" s="118" t="s">
        <v>14</v>
      </c>
    </row>
    <row r="5" spans="1:5" x14ac:dyDescent="0.35">
      <c r="A5" s="23" t="s">
        <v>15</v>
      </c>
      <c r="B5" s="122">
        <f>VLOOKUP(B4, 'FN Remoteness'!$A:$F, 6, FALSE)</f>
        <v>0.1052</v>
      </c>
    </row>
    <row r="6" spans="1:5" x14ac:dyDescent="0.35">
      <c r="A6" s="23" t="s">
        <v>16</v>
      </c>
      <c r="B6" s="123">
        <f>VLOOKUP(B4, 'FN Remoteness'!$A:$H, 8, FALSE)</f>
        <v>7.5999999999999998E-2</v>
      </c>
    </row>
    <row r="7" spans="1:5" x14ac:dyDescent="0.35">
      <c r="A7" s="23" t="s">
        <v>17</v>
      </c>
      <c r="B7" s="124" t="str">
        <f>IF(VLOOKUP(B4,'FN Remoteness'!$A:$G,7,FALSE)=1,"Y","N")</f>
        <v>N</v>
      </c>
    </row>
    <row r="9" spans="1:5" ht="18.5" x14ac:dyDescent="0.35">
      <c r="A9" s="113" t="s">
        <v>18</v>
      </c>
      <c r="B9" s="24"/>
    </row>
    <row r="10" spans="1:5" x14ac:dyDescent="0.35">
      <c r="A10" s="25" t="s">
        <v>19</v>
      </c>
      <c r="B10" s="74">
        <v>231</v>
      </c>
      <c r="C10" s="98"/>
    </row>
    <row r="11" spans="1:5" x14ac:dyDescent="0.35">
      <c r="A11" s="25" t="s">
        <v>20</v>
      </c>
      <c r="B11" s="74">
        <v>192</v>
      </c>
      <c r="C11" s="98"/>
    </row>
    <row r="12" spans="1:5" ht="29" x14ac:dyDescent="0.35">
      <c r="A12" s="25" t="s">
        <v>21</v>
      </c>
      <c r="B12" s="74">
        <v>85</v>
      </c>
      <c r="D12" s="98"/>
    </row>
    <row r="13" spans="1:5" ht="29" x14ac:dyDescent="0.35">
      <c r="A13" s="25" t="s">
        <v>22</v>
      </c>
      <c r="B13" s="74">
        <v>21</v>
      </c>
      <c r="E13" s="98"/>
    </row>
    <row r="14" spans="1:5" x14ac:dyDescent="0.35">
      <c r="A14" s="25" t="s">
        <v>23</v>
      </c>
      <c r="B14" s="74">
        <v>3</v>
      </c>
      <c r="E14" s="98"/>
    </row>
    <row r="15" spans="1:5" ht="29" x14ac:dyDescent="0.35">
      <c r="A15" s="25" t="s">
        <v>24</v>
      </c>
      <c r="B15" s="110">
        <f>ROUND(SUM(B10:B11)/17, 0)</f>
        <v>25</v>
      </c>
    </row>
    <row r="16" spans="1:5" ht="77.5" x14ac:dyDescent="0.35">
      <c r="A16" s="25" t="s">
        <v>25</v>
      </c>
      <c r="B16" s="74"/>
      <c r="C16" s="119" t="s">
        <v>26</v>
      </c>
    </row>
    <row r="18" spans="1:2" ht="18.5" x14ac:dyDescent="0.35">
      <c r="A18" s="180" t="s">
        <v>27</v>
      </c>
      <c r="B18" s="181"/>
    </row>
    <row r="19" spans="1:2" ht="40" customHeight="1" x14ac:dyDescent="0.35">
      <c r="A19" s="25" t="s">
        <v>28</v>
      </c>
      <c r="B19" s="155" t="s">
        <v>836</v>
      </c>
    </row>
    <row r="20" spans="1:2" ht="30" customHeight="1" x14ac:dyDescent="0.35">
      <c r="A20" s="25" t="s">
        <v>29</v>
      </c>
      <c r="B20" s="156">
        <v>1</v>
      </c>
    </row>
    <row r="21" spans="1:2" ht="31.5" customHeight="1" x14ac:dyDescent="0.35">
      <c r="A21" s="25" t="s">
        <v>30</v>
      </c>
      <c r="B21" s="155" t="s">
        <v>827</v>
      </c>
    </row>
    <row r="22" spans="1:2" ht="33" customHeight="1" x14ac:dyDescent="0.35">
      <c r="A22" s="25" t="s">
        <v>837</v>
      </c>
      <c r="B22" s="155" t="s">
        <v>836</v>
      </c>
    </row>
    <row r="23" spans="1:2" ht="33" customHeight="1" x14ac:dyDescent="0.35">
      <c r="A23" s="25" t="s">
        <v>842</v>
      </c>
      <c r="B23" s="155" t="s">
        <v>836</v>
      </c>
    </row>
    <row r="29" spans="1:2" x14ac:dyDescent="0.35">
      <c r="B29" s="98"/>
    </row>
    <row r="30" spans="1:2" x14ac:dyDescent="0.35">
      <c r="B30" s="98"/>
    </row>
  </sheetData>
  <protectedRanges>
    <protectedRange sqref="B3:B4 C3" name="Range1_6"/>
  </protectedRanges>
  <mergeCells count="1">
    <mergeCell ref="A18:B18"/>
  </mergeCells>
  <dataValidations count="1">
    <dataValidation type="list" allowBlank="1" showInputMessage="1" showErrorMessage="1" sqref="B4:C4" xr:uid="{6A4B2A14-D0B4-49E2-9D36-C2D2ED508059}">
      <formula1>INDIRECT(B3)</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8037145-69BF-496C-B8BD-B03A0B550368}">
          <x14:formula1>
            <xm:f>'List of First Nations'!$A$1:$F$1</xm:f>
          </x14:formula1>
          <xm:sqref>B3:C3</xm:sqref>
        </x14:dataValidation>
        <x14:dataValidation type="list" allowBlank="1" showInputMessage="1" showErrorMessage="1" xr:uid="{21D16662-F6F2-4476-82E9-B6D957C49F9D}">
          <x14:formula1>
            <xm:f>'List of First Nations'!$H$1:$H$2</xm:f>
          </x14:formula1>
          <xm:sqref>B19 B21:B23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88766-00E7-493F-8868-4758D3F9332C}">
  <sheetPr>
    <tabColor theme="5"/>
  </sheetPr>
  <dimension ref="A1:F39"/>
  <sheetViews>
    <sheetView workbookViewId="0">
      <selection sqref="A1:C1"/>
    </sheetView>
  </sheetViews>
  <sheetFormatPr defaultColWidth="9.1796875" defaultRowHeight="14.5" x14ac:dyDescent="0.35"/>
  <cols>
    <col min="1" max="1" width="54.81640625" style="1" bestFit="1" customWidth="1"/>
    <col min="2" max="2" width="24.54296875" style="1" bestFit="1" customWidth="1"/>
    <col min="3" max="3" width="32.81640625" style="1" bestFit="1" customWidth="1"/>
    <col min="4" max="4" width="7.54296875" style="1" customWidth="1"/>
    <col min="5" max="5" width="41.08984375" style="1" customWidth="1"/>
    <col min="6" max="6" width="18.1796875" style="1" bestFit="1" customWidth="1"/>
    <col min="7" max="16384" width="9.1796875" style="1"/>
  </cols>
  <sheetData>
    <row r="1" spans="1:6" ht="21" x14ac:dyDescent="0.5">
      <c r="A1" s="182" t="s">
        <v>31</v>
      </c>
      <c r="B1" s="182"/>
      <c r="C1" s="182"/>
    </row>
    <row r="2" spans="1:6" ht="15.5" x14ac:dyDescent="0.35">
      <c r="A2" s="93" t="s">
        <v>32</v>
      </c>
      <c r="B2" s="94" t="s">
        <v>33</v>
      </c>
      <c r="C2" s="94" t="s">
        <v>34</v>
      </c>
      <c r="D2" s="150"/>
      <c r="E2" s="158" t="s">
        <v>840</v>
      </c>
      <c r="F2" s="159" t="s">
        <v>103</v>
      </c>
    </row>
    <row r="3" spans="1:6" x14ac:dyDescent="0.35">
      <c r="A3" s="125" t="s">
        <v>35</v>
      </c>
      <c r="B3" s="126">
        <f>'Permanent Staff Salaries'!I9</f>
        <v>2291737.5938233603</v>
      </c>
      <c r="C3" s="126">
        <f>B3/SUM(Dashboard!$B$10:$B$11)</f>
        <v>5417.8193707408045</v>
      </c>
      <c r="D3" s="78"/>
      <c r="E3" s="157" t="s">
        <v>830</v>
      </c>
      <c r="F3" s="95">
        <f>Dashboard!B10</f>
        <v>231</v>
      </c>
    </row>
    <row r="4" spans="1:6" x14ac:dyDescent="0.35">
      <c r="A4" s="97" t="s">
        <v>36</v>
      </c>
      <c r="B4" s="76">
        <f>VLOOKUP(A4, 'Permanent Staff Salaries'!$A$4:$I$8, 9, FALSE)</f>
        <v>146848.41400000002</v>
      </c>
      <c r="C4" s="76">
        <f>B4/SUM(Dashboard!$B$10:$B$11)</f>
        <v>347.1593711583925</v>
      </c>
      <c r="D4" s="78"/>
      <c r="E4" s="157" t="s">
        <v>831</v>
      </c>
      <c r="F4" s="95">
        <f>Dashboard!B11</f>
        <v>192</v>
      </c>
    </row>
    <row r="5" spans="1:6" x14ac:dyDescent="0.35">
      <c r="A5" s="97" t="s">
        <v>37</v>
      </c>
      <c r="B5" s="76">
        <f>VLOOKUP(A5, 'Permanent Staff Salaries'!$A$4:$I$8, 9, FALSE)</f>
        <v>213854.34800000003</v>
      </c>
      <c r="C5" s="76">
        <f>B5/SUM(Dashboard!$B$10:$B$11)</f>
        <v>505.56583451536648</v>
      </c>
      <c r="D5" s="78"/>
      <c r="E5" s="157" t="s">
        <v>832</v>
      </c>
      <c r="F5" s="95">
        <f>Dashboard!B12</f>
        <v>85</v>
      </c>
    </row>
    <row r="6" spans="1:6" x14ac:dyDescent="0.35">
      <c r="A6" s="97" t="s">
        <v>38</v>
      </c>
      <c r="B6" s="76">
        <f>VLOOKUP(A6, 'Permanent Staff Salaries'!$A$4:$I$8, 9, FALSE)</f>
        <v>1473121.2566233601</v>
      </c>
      <c r="C6" s="76">
        <f>B6/SUM(Dashboard!$B$10:$B$11)</f>
        <v>3482.5561622301657</v>
      </c>
      <c r="D6" s="78"/>
      <c r="E6" s="157" t="s">
        <v>833</v>
      </c>
      <c r="F6" s="95">
        <f>Dashboard!B13</f>
        <v>21</v>
      </c>
    </row>
    <row r="7" spans="1:6" x14ac:dyDescent="0.35">
      <c r="A7" s="97" t="s">
        <v>39</v>
      </c>
      <c r="B7" s="76">
        <f>VLOOKUP(A7, 'Permanent Staff Salaries'!$A$4:$I$8, 9, FALSE)</f>
        <v>210674.7</v>
      </c>
      <c r="C7" s="76">
        <f>B7/SUM(Dashboard!$B$10:$B$11)</f>
        <v>498.04893617021281</v>
      </c>
      <c r="D7" s="78"/>
      <c r="E7" s="157" t="s">
        <v>834</v>
      </c>
      <c r="F7" s="95">
        <f>Dashboard!B14</f>
        <v>3</v>
      </c>
    </row>
    <row r="8" spans="1:6" x14ac:dyDescent="0.35">
      <c r="A8" s="97" t="s">
        <v>40</v>
      </c>
      <c r="B8" s="76">
        <f>VLOOKUP(A8, 'Permanent Staff Salaries'!$A$4:$I$8, 9, FALSE)</f>
        <v>247238.87520000001</v>
      </c>
      <c r="C8" s="76">
        <f>B8/SUM(Dashboard!$B$10:$B$11)</f>
        <v>584.48906666666664</v>
      </c>
      <c r="D8" s="78"/>
      <c r="E8" s="78"/>
    </row>
    <row r="9" spans="1:6" x14ac:dyDescent="0.35">
      <c r="A9" s="125" t="s">
        <v>41</v>
      </c>
      <c r="B9" s="126">
        <f>'Specialist Services Fees'!F12</f>
        <v>975501.60000000009</v>
      </c>
      <c r="C9" s="126">
        <f>B9/SUM(Dashboard!$B$10:$B$11)</f>
        <v>2306.1503546099293</v>
      </c>
      <c r="D9" s="78"/>
      <c r="E9" s="78"/>
    </row>
    <row r="10" spans="1:6" x14ac:dyDescent="0.35">
      <c r="A10" s="97" t="s">
        <v>42</v>
      </c>
      <c r="B10" s="76">
        <f>'Specialist Services Fees'!F4</f>
        <v>118854.96</v>
      </c>
      <c r="C10" s="76">
        <f>B10/SUM(Dashboard!$B$10:$B$11)</f>
        <v>280.98099290780141</v>
      </c>
      <c r="D10" s="78"/>
      <c r="E10" s="78"/>
    </row>
    <row r="11" spans="1:6" x14ac:dyDescent="0.35">
      <c r="A11" s="97" t="s">
        <v>43</v>
      </c>
      <c r="B11" s="76">
        <f>VLOOKUP(A11, 'Specialist Services Fees'!$A$8:$F$11, 6, FALSE)</f>
        <v>165596.40000000002</v>
      </c>
      <c r="C11" s="76">
        <f>B11/SUM(Dashboard!$B$10:$B$11)</f>
        <v>391.48085106382985</v>
      </c>
      <c r="D11" s="78"/>
      <c r="E11" s="78"/>
    </row>
    <row r="12" spans="1:6" x14ac:dyDescent="0.35">
      <c r="A12" s="97" t="s">
        <v>44</v>
      </c>
      <c r="B12" s="76">
        <f>VLOOKUP(A12, 'Specialist Services Fees'!$A$8:$F$11, 6, FALSE)</f>
        <v>235514.88000000003</v>
      </c>
      <c r="C12" s="76">
        <f>B12/SUM(Dashboard!$B$10:$B$11)</f>
        <v>556.77276595744684</v>
      </c>
      <c r="E12" s="78"/>
    </row>
    <row r="13" spans="1:6" x14ac:dyDescent="0.35">
      <c r="A13" s="97" t="s">
        <v>45</v>
      </c>
      <c r="B13" s="76">
        <f>VLOOKUP(A13, 'Specialist Services Fees'!$A$8:$F$11, 6, FALSE)</f>
        <v>209755.44000000003</v>
      </c>
      <c r="C13" s="76">
        <f>B13/SUM(Dashboard!$B$10:$B$11)</f>
        <v>495.87574468085114</v>
      </c>
      <c r="D13" s="92"/>
      <c r="E13" s="92"/>
      <c r="F13" s="7"/>
    </row>
    <row r="14" spans="1:6" x14ac:dyDescent="0.35">
      <c r="A14" s="97" t="s">
        <v>46</v>
      </c>
      <c r="B14" s="76">
        <f>VLOOKUP(A14, 'Specialist Services Fees'!$A$8:$F$11, 6, FALSE)</f>
        <v>245779.91999999998</v>
      </c>
      <c r="C14" s="76">
        <f>B14/SUM(Dashboard!$B$10:$B$11)</f>
        <v>581.04</v>
      </c>
      <c r="D14" s="90"/>
      <c r="E14" s="90"/>
    </row>
    <row r="15" spans="1:6" x14ac:dyDescent="0.35">
      <c r="A15" s="125" t="s">
        <v>47</v>
      </c>
      <c r="B15" s="126">
        <f>'Equipment and Resources Costs'!D17</f>
        <v>198435</v>
      </c>
      <c r="C15" s="126">
        <f>B15/SUM(Dashboard!$B$10:$B$11)</f>
        <v>469.11347517730496</v>
      </c>
      <c r="D15" s="76"/>
    </row>
    <row r="16" spans="1:6" x14ac:dyDescent="0.35">
      <c r="A16" s="97" t="s">
        <v>48</v>
      </c>
      <c r="B16" s="76">
        <f>'Equipment and Resources Costs'!D15</f>
        <v>165435</v>
      </c>
      <c r="C16" s="76">
        <f>B16/SUM(Dashboard!$B$10:$B$11)</f>
        <v>391.09929078014187</v>
      </c>
      <c r="D16" s="91"/>
    </row>
    <row r="17" spans="1:4" x14ac:dyDescent="0.35">
      <c r="A17" s="97" t="s">
        <v>49</v>
      </c>
      <c r="B17" s="76">
        <f>'Equipment and Resources Costs'!D16</f>
        <v>33000</v>
      </c>
      <c r="C17" s="76">
        <f>B17/SUM(Dashboard!$B$10:$B$11)</f>
        <v>78.01418439716312</v>
      </c>
      <c r="D17" s="89"/>
    </row>
    <row r="18" spans="1:4" ht="14.25" customHeight="1" x14ac:dyDescent="0.35">
      <c r="A18" s="125" t="s">
        <v>50</v>
      </c>
      <c r="B18" s="126">
        <f>'Cultural Needs Costs'!D6</f>
        <v>210000</v>
      </c>
      <c r="C18" s="126">
        <f>B18/SUM(Dashboard!$B$10:$B$11)</f>
        <v>496.45390070921985</v>
      </c>
    </row>
    <row r="19" spans="1:4" ht="12.75" customHeight="1" x14ac:dyDescent="0.35">
      <c r="A19" s="97" t="s">
        <v>51</v>
      </c>
      <c r="B19" s="76">
        <f>'Cultural Needs Costs'!D3</f>
        <v>135000</v>
      </c>
      <c r="C19" s="76">
        <f>B19/SUM(Dashboard!$B$10:$B$11)</f>
        <v>319.14893617021278</v>
      </c>
    </row>
    <row r="20" spans="1:4" x14ac:dyDescent="0.35">
      <c r="A20" s="97" t="s">
        <v>52</v>
      </c>
      <c r="B20" s="76">
        <f>'Cultural Needs Costs'!D5</f>
        <v>75000</v>
      </c>
      <c r="C20" s="76">
        <f>B20/SUM(Dashboard!$B$10:$B$11)</f>
        <v>177.3049645390071</v>
      </c>
    </row>
    <row r="21" spans="1:4" ht="12.65" customHeight="1" x14ac:dyDescent="0.35">
      <c r="A21" s="125" t="s">
        <v>53</v>
      </c>
      <c r="B21" s="126">
        <f>' Other Expenses'!F13</f>
        <v>218497.6</v>
      </c>
      <c r="C21" s="126">
        <f>B21/SUM(Dashboard!$B$10:$B$11)</f>
        <v>516.54278959810881</v>
      </c>
    </row>
    <row r="22" spans="1:4" ht="12.75" customHeight="1" x14ac:dyDescent="0.35">
      <c r="A22" s="97" t="s">
        <v>54</v>
      </c>
      <c r="B22" s="76">
        <f>SUM(' Other Expenses'!E4:E6)</f>
        <v>69940</v>
      </c>
      <c r="C22" s="76">
        <f>B22/SUM(Dashboard!$B$10:$B$11)</f>
        <v>165.34278959810874</v>
      </c>
    </row>
    <row r="23" spans="1:4" x14ac:dyDescent="0.35">
      <c r="A23" s="97" t="s">
        <v>55</v>
      </c>
      <c r="B23" s="76">
        <f>' Other Expenses'!E7</f>
        <v>75000</v>
      </c>
      <c r="C23" s="76">
        <f>B23/SUM(Dashboard!$B$10:$B$11)</f>
        <v>177.3049645390071</v>
      </c>
    </row>
    <row r="24" spans="1:4" x14ac:dyDescent="0.35">
      <c r="A24" s="97" t="s">
        <v>56</v>
      </c>
      <c r="B24" s="76">
        <f>' Other Expenses'!F11</f>
        <v>60000</v>
      </c>
      <c r="C24" s="76">
        <f>B24/SUM(Dashboard!$B$10:$B$11)</f>
        <v>141.84397163120568</v>
      </c>
    </row>
    <row r="25" spans="1:4" x14ac:dyDescent="0.35">
      <c r="A25" s="97" t="s">
        <v>57</v>
      </c>
      <c r="B25" s="76">
        <f>' Other Expenses'!F12</f>
        <v>13557.6</v>
      </c>
      <c r="C25" s="148">
        <f>B25/SUM(Dashboard!$B$10:$B$11)</f>
        <v>32.051063829787232</v>
      </c>
    </row>
    <row r="26" spans="1:4" x14ac:dyDescent="0.35">
      <c r="A26" s="127" t="s">
        <v>58</v>
      </c>
      <c r="B26" s="88">
        <f>SUM(B3,B9,B15,B18,B21)</f>
        <v>3894171.7938233605</v>
      </c>
      <c r="C26" s="149">
        <f>SUM(C3,C9,C15,C18,C21)</f>
        <v>9206.0798908353681</v>
      </c>
      <c r="D26"/>
    </row>
    <row r="28" spans="1:4" x14ac:dyDescent="0.35">
      <c r="A28" s="158" t="s">
        <v>838</v>
      </c>
      <c r="B28" s="159" t="s">
        <v>835</v>
      </c>
      <c r="D28" s="76"/>
    </row>
    <row r="29" spans="1:4" x14ac:dyDescent="0.35">
      <c r="A29" s="1" t="s">
        <v>36</v>
      </c>
      <c r="B29" s="95">
        <f>'Permanent Staff Salaries'!B4</f>
        <v>1</v>
      </c>
    </row>
    <row r="30" spans="1:4" x14ac:dyDescent="0.35">
      <c r="A30" s="1" t="s">
        <v>37</v>
      </c>
      <c r="B30" s="95">
        <f>'Permanent Staff Salaries'!B5</f>
        <v>2</v>
      </c>
    </row>
    <row r="31" spans="1:4" x14ac:dyDescent="0.35">
      <c r="A31" s="1" t="s">
        <v>38</v>
      </c>
      <c r="B31" s="95">
        <f>'Permanent Staff Salaries'!B6</f>
        <v>34</v>
      </c>
    </row>
    <row r="32" spans="1:4" x14ac:dyDescent="0.35">
      <c r="A32" s="1" t="s">
        <v>39</v>
      </c>
      <c r="B32" s="95">
        <f>'Permanent Staff Salaries'!B7</f>
        <v>2.5</v>
      </c>
    </row>
    <row r="33" spans="1:2" x14ac:dyDescent="0.35">
      <c r="A33" s="1" t="s">
        <v>40</v>
      </c>
      <c r="B33" s="95">
        <f>'Permanent Staff Salaries'!B8</f>
        <v>3</v>
      </c>
    </row>
    <row r="35" spans="1:2" x14ac:dyDescent="0.35">
      <c r="A35" s="158" t="s">
        <v>826</v>
      </c>
      <c r="B35" s="160"/>
    </row>
    <row r="36" spans="1:2" ht="38.5" customHeight="1" x14ac:dyDescent="0.35">
      <c r="A36" s="161" t="s">
        <v>839</v>
      </c>
      <c r="B36" s="162">
        <f>IF(Dashboard!B19="Yes",Dashboard!B20*(SUM('Permanent Staff Salaries'!B4:B5)),"N/A")</f>
        <v>3</v>
      </c>
    </row>
    <row r="37" spans="1:2" x14ac:dyDescent="0.35">
      <c r="A37" s="1" t="s">
        <v>828</v>
      </c>
      <c r="B37" s="162" t="str">
        <f>IF(Dashboard!B21="Yes","No","Yes")</f>
        <v>Yes</v>
      </c>
    </row>
    <row r="38" spans="1:2" x14ac:dyDescent="0.35">
      <c r="A38" s="1" t="s">
        <v>829</v>
      </c>
      <c r="B38" s="162" t="str">
        <f>Dashboard!B22</f>
        <v>Yes</v>
      </c>
    </row>
    <row r="39" spans="1:2" x14ac:dyDescent="0.35">
      <c r="A39" s="1" t="s">
        <v>841</v>
      </c>
      <c r="B39" s="162" t="str">
        <f>IF(Dashboard!B23="Yes","No","Yes")</f>
        <v>No</v>
      </c>
    </row>
  </sheetData>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FC95F-303E-4337-BBFD-7F8469C8AABA}">
  <sheetPr>
    <tabColor theme="9"/>
  </sheetPr>
  <dimension ref="A1:L9"/>
  <sheetViews>
    <sheetView zoomScale="85" zoomScaleNormal="85" workbookViewId="0"/>
  </sheetViews>
  <sheetFormatPr defaultColWidth="8.81640625" defaultRowHeight="14.5" x14ac:dyDescent="0.35"/>
  <cols>
    <col min="1" max="11" width="8.81640625" style="1"/>
    <col min="12" max="12" width="6.1796875" style="1" customWidth="1"/>
    <col min="13" max="16384" width="8.81640625" style="1"/>
  </cols>
  <sheetData>
    <row r="1" spans="1:12" ht="21.5" thickBot="1" x14ac:dyDescent="0.55000000000000004">
      <c r="A1" s="8"/>
      <c r="B1" s="8"/>
      <c r="C1" s="8"/>
      <c r="D1" s="8"/>
      <c r="E1" s="8"/>
      <c r="F1" s="8"/>
    </row>
    <row r="2" spans="1:12" ht="21" x14ac:dyDescent="0.5">
      <c r="A2" s="9" t="s">
        <v>59</v>
      </c>
      <c r="B2" s="10"/>
      <c r="C2" s="10"/>
      <c r="D2" s="10"/>
      <c r="E2" s="10"/>
      <c r="F2" s="10"/>
      <c r="G2" s="11"/>
      <c r="H2" s="11"/>
      <c r="I2" s="11"/>
      <c r="J2" s="11"/>
      <c r="K2" s="11"/>
      <c r="L2" s="12"/>
    </row>
    <row r="3" spans="1:12" x14ac:dyDescent="0.35">
      <c r="A3" s="13"/>
      <c r="L3" s="14"/>
    </row>
    <row r="4" spans="1:12" ht="18.649999999999999" customHeight="1" x14ac:dyDescent="0.35">
      <c r="A4" s="15" t="s">
        <v>60</v>
      </c>
      <c r="B4" s="16"/>
      <c r="C4" s="16"/>
      <c r="D4" s="16"/>
      <c r="E4" s="16"/>
      <c r="F4" s="16"/>
      <c r="G4" s="16"/>
      <c r="H4" s="16"/>
      <c r="I4" s="16"/>
      <c r="J4" s="16"/>
      <c r="K4" s="16"/>
      <c r="L4" s="14"/>
    </row>
    <row r="5" spans="1:12" ht="18.649999999999999" customHeight="1" x14ac:dyDescent="0.35">
      <c r="A5" s="15" t="s">
        <v>61</v>
      </c>
      <c r="B5" s="16"/>
      <c r="C5" s="16"/>
      <c r="D5" s="16"/>
      <c r="E5" s="16"/>
      <c r="F5" s="16"/>
      <c r="G5" s="16"/>
      <c r="H5" s="16"/>
      <c r="I5" s="16"/>
      <c r="J5" s="16"/>
      <c r="K5" s="16"/>
      <c r="L5" s="14"/>
    </row>
    <row r="6" spans="1:12" ht="18.649999999999999" customHeight="1" x14ac:dyDescent="0.35">
      <c r="A6" s="16" t="s">
        <v>62</v>
      </c>
      <c r="B6" s="16"/>
      <c r="C6" s="16"/>
      <c r="D6" s="16"/>
      <c r="E6" s="16"/>
      <c r="F6" s="16"/>
      <c r="G6" s="16"/>
      <c r="H6" s="16"/>
      <c r="I6" s="16"/>
      <c r="J6" s="16"/>
      <c r="K6" s="16"/>
      <c r="L6" s="14"/>
    </row>
    <row r="7" spans="1:12" ht="18.649999999999999" customHeight="1" x14ac:dyDescent="0.35">
      <c r="A7" s="15" t="s">
        <v>63</v>
      </c>
      <c r="C7" s="16"/>
      <c r="D7" s="16"/>
      <c r="E7" s="16"/>
      <c r="F7" s="16"/>
      <c r="G7" s="16"/>
      <c r="H7" s="16"/>
      <c r="I7" s="16"/>
      <c r="J7" s="16"/>
      <c r="K7" s="16"/>
      <c r="L7" s="14"/>
    </row>
    <row r="8" spans="1:12" ht="18.649999999999999" customHeight="1" x14ac:dyDescent="0.35">
      <c r="A8" s="15" t="s">
        <v>64</v>
      </c>
      <c r="B8" s="16"/>
      <c r="C8" s="16"/>
      <c r="D8" s="16"/>
      <c r="E8" s="16"/>
      <c r="F8" s="16"/>
      <c r="G8" s="16"/>
      <c r="H8" s="16"/>
      <c r="I8" s="16"/>
      <c r="J8" s="16"/>
      <c r="K8" s="16"/>
      <c r="L8" s="14"/>
    </row>
    <row r="9" spans="1:12" ht="15" thickBot="1" x14ac:dyDescent="0.4">
      <c r="A9" s="108"/>
      <c r="B9" s="17"/>
      <c r="C9" s="17"/>
      <c r="D9" s="17"/>
      <c r="E9" s="17"/>
      <c r="F9" s="17"/>
      <c r="G9" s="17"/>
      <c r="H9" s="17"/>
      <c r="I9" s="17"/>
      <c r="J9" s="17"/>
      <c r="K9" s="17"/>
      <c r="L9" s="18"/>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AA809-4615-44FB-85E2-FD74C5BE1F4C}">
  <dimension ref="A3:L31"/>
  <sheetViews>
    <sheetView zoomScale="85" zoomScaleNormal="85" workbookViewId="0"/>
  </sheetViews>
  <sheetFormatPr defaultColWidth="9.1796875" defaultRowHeight="15.5" x14ac:dyDescent="0.35"/>
  <cols>
    <col min="1" max="1" width="56.81640625" style="48" customWidth="1"/>
    <col min="2" max="2" width="33.81640625" style="48" customWidth="1"/>
    <col min="3" max="3" width="50" style="48" customWidth="1"/>
    <col min="4" max="4" width="61.81640625" style="48" customWidth="1"/>
    <col min="5" max="5" width="38.81640625" style="48" bestFit="1" customWidth="1"/>
    <col min="6" max="6" width="34.1796875" style="48" bestFit="1" customWidth="1"/>
    <col min="7" max="7" width="15.1796875" style="48" customWidth="1"/>
    <col min="8" max="8" width="18.81640625" style="48" customWidth="1"/>
    <col min="9" max="9" width="15.81640625" style="48" customWidth="1"/>
    <col min="10" max="10" width="11.1796875" style="48" customWidth="1"/>
    <col min="11" max="11" width="15" style="48" bestFit="1" customWidth="1"/>
    <col min="12" max="12" width="11.1796875" style="48" bestFit="1" customWidth="1"/>
    <col min="13" max="16384" width="9.1796875" style="48"/>
  </cols>
  <sheetData>
    <row r="3" spans="1:12" s="40" customFormat="1" ht="45" customHeight="1" x14ac:dyDescent="0.35">
      <c r="A3" s="39" t="s">
        <v>65</v>
      </c>
      <c r="B3" s="40" t="s">
        <v>66</v>
      </c>
      <c r="C3" s="40" t="s">
        <v>67</v>
      </c>
      <c r="D3" s="41" t="s">
        <v>68</v>
      </c>
      <c r="E3" s="40" t="s">
        <v>69</v>
      </c>
      <c r="F3" s="40" t="s">
        <v>70</v>
      </c>
      <c r="G3" s="40" t="s">
        <v>71</v>
      </c>
      <c r="H3" s="40" t="s">
        <v>72</v>
      </c>
      <c r="I3" s="40" t="s">
        <v>73</v>
      </c>
    </row>
    <row r="4" spans="1:12" x14ac:dyDescent="0.35">
      <c r="A4" s="42" t="s">
        <v>36</v>
      </c>
      <c r="B4" s="107">
        <f>IF(SUM(Dashboard!B10:B11)&lt;150,0.5,IF(AND(SUM(Dashboard!B10:B11)&gt;=150,SUM(Dashboard!B10:B11)&lt;=300),0.75,IF(AND(SUM(Dashboard!B10:B11)&gt;=300,SUM(Dashboard!B10:B11)&lt;=650),1,IF(SUM(Dashboard!B10:B11)&gt;650,IF(SUM(Dashboard!B10:B11)-650&lt;150,1.25,IF(MOD(SUM(Dashboard!B10:B11)-650, 150)&lt;&gt;0, 1.25+INT((SUM(Dashboard!B10:B11)-650)/150)*0.25,1+INT((SUM(Dashboard!B10:B11)-650)/150)*0.25))))))</f>
        <v>1</v>
      </c>
      <c r="C4" s="45">
        <f>VLOOKUP(Dashboard!$B$3, 'Perm Staff Wage Data'!$A$3:$E$12, 5, FALSE)</f>
        <v>101246.5</v>
      </c>
      <c r="D4" s="46">
        <f>C4*(1+Dashboard!$B$6)</f>
        <v>108941.23400000001</v>
      </c>
      <c r="E4" s="44">
        <v>0.2</v>
      </c>
      <c r="F4" s="45">
        <f>AVERAGE(10000, 15000)</f>
        <v>12500</v>
      </c>
      <c r="G4" s="46">
        <f>IF(D4=0, 0, IF(D4&gt;$D$14, $E$14, (D4-$C$14)*$B$14))</f>
        <v>3754.45</v>
      </c>
      <c r="H4" s="46">
        <f>IF(D4&gt;$D$15, $E$15, D4*$B$15)</f>
        <v>1403.43</v>
      </c>
      <c r="I4" s="47">
        <f>(D4+(C4*E4)+SUM(F4:H4))*B4</f>
        <v>146848.41400000002</v>
      </c>
      <c r="K4" s="73"/>
      <c r="L4" s="73"/>
    </row>
    <row r="5" spans="1:12" x14ac:dyDescent="0.35">
      <c r="A5" s="42" t="s">
        <v>37</v>
      </c>
      <c r="B5" s="66">
        <f>IF(Dashboard!B12&lt;30,0.5,IF(AND(Dashboard!B12&gt;=30,Dashboard!B12&lt;=50),0.75,IF(AND(Dashboard!B12&gt;=50,Dashboard!B12&lt;=95),1,IF(Dashboard!B12&gt;95,IF(Dashboard!B12-95&lt;25,1.25,IF(MOD(Dashboard!B12-95, 25)&lt;&gt;0, 1.25+INT((Dashboard!B12-95)/25)*0.25, 1+INT((Dashboard!B12-95)/25)*0.25))))))+IF(Dashboard!B13&lt;10,0.5,IF(AND(Dashboard!B13&gt;=10,Dashboard!B13&lt;=25),1,IF(Dashboard!B13&gt;25,IF(Dashboard!B13-25&lt;5,1.5,IF(MOD(Dashboard!B13-25,5)&lt;&gt;0,1.5+INT((Dashboard!B13-25)/5)*0.5,1+INT((Dashboard!B13-25)/5)*0.5)))))</f>
        <v>2</v>
      </c>
      <c r="C5" s="45">
        <f>VLOOKUP(Dashboard!$B$3, 'Perm Staff Wage Data'!$A$16:$E$25, 5, FALSE)</f>
        <v>79756.5</v>
      </c>
      <c r="D5" s="46">
        <f>C5*(1+Dashboard!$B$6)</f>
        <v>85817.994000000006</v>
      </c>
      <c r="E5" s="44">
        <v>0.2</v>
      </c>
      <c r="F5" s="45"/>
      <c r="G5" s="46">
        <f t="shared" ref="G5" si="0">IF(D5=0, 0, IF(D5&gt;$D$14, $E$14, (D5-$C$14)*$B$14))</f>
        <v>3754.45</v>
      </c>
      <c r="H5" s="46">
        <f t="shared" ref="H5" si="1">IF(D5&gt;$D$15, $E$15, D5*$B$15)</f>
        <v>1403.43</v>
      </c>
      <c r="I5" s="47">
        <f t="shared" ref="I5" si="2">(D5+(C5*E5)+SUM(F5:H5))*B5</f>
        <v>213854.34800000003</v>
      </c>
      <c r="K5" s="73"/>
    </row>
    <row r="6" spans="1:12" x14ac:dyDescent="0.35">
      <c r="A6" s="42" t="s">
        <v>38</v>
      </c>
      <c r="B6" s="154">
        <f>ROUND(Dashboard!$B$10*0.2*0.2,0)+ROUND(Dashboard!$B$11*0.2*0.1,0)+Dashboard!$B$13</f>
        <v>34</v>
      </c>
      <c r="C6" s="45">
        <f>VLOOKUP(Dashboard!B3, 'Perm Staff Wage Data'!$A$29:$E$38, 5, FALSE)</f>
        <v>32068.799999999999</v>
      </c>
      <c r="D6" s="46">
        <f>C6*(1+Dashboard!$B$6)</f>
        <v>34506.0288</v>
      </c>
      <c r="E6" s="44">
        <v>0.2</v>
      </c>
      <c r="F6" s="45"/>
      <c r="G6" s="46">
        <f>IF(D6=0, 0, IF(D6&gt;$D$14, $E$14, (D6-$C$14)*$B$14))</f>
        <v>1844.8587135999999</v>
      </c>
      <c r="H6" s="46">
        <f>IF(D6&gt;$D$15, $E$15, D6*$B$15)</f>
        <v>562.44826943999999</v>
      </c>
      <c r="I6" s="47">
        <f>(D6+(C6*E6)+SUM(F6:H6))*B6</f>
        <v>1473121.2566233601</v>
      </c>
      <c r="K6" s="73"/>
    </row>
    <row r="7" spans="1:12" x14ac:dyDescent="0.35">
      <c r="A7" s="42" t="s">
        <v>39</v>
      </c>
      <c r="B7" s="66">
        <f>IF(SUM(Dashboard!B10:B11)&lt;75, 0.5, IF(AND(SUM(Dashboard!B10:B11)&gt;=75, SUM(Dashboard!B10:B11)&lt;=225), 1, IF(SUM(Dashboard!B10:B11)-225&lt;75, 1.5, IF(MOD(SUM(Dashboard!B10:B11)-225, 75)&lt;&gt;0, 1.5+INT((SUM(Dashboard!B10:B11)-225)/75)*0.5, 1+INT((SUM(Dashboard!B10:B11)-225)/75)*0.5))))</f>
        <v>2.5</v>
      </c>
      <c r="C7" s="45">
        <f>VLOOKUP(Dashboard!$B$3, 'Perm Staff Wage Data'!$A$41:$E$50, 5, FALSE)</f>
        <v>62000</v>
      </c>
      <c r="D7" s="46">
        <f>C7*(1+Dashboard!$B$6)</f>
        <v>66712</v>
      </c>
      <c r="E7" s="44">
        <v>0.2</v>
      </c>
      <c r="F7" s="45"/>
      <c r="G7" s="46">
        <f>IF(D7=0, 0, IF(D7&gt;$D$14, $E$14, (D7-$C$14)*$B$14))</f>
        <v>3754.45</v>
      </c>
      <c r="H7" s="46">
        <f>IF(D7&gt;$D$15, $E$15, D7*$B$15)</f>
        <v>1403.43</v>
      </c>
      <c r="I7" s="47">
        <f>(D7+(C7*E7)+SUM(F7:H7))*B7</f>
        <v>210674.7</v>
      </c>
      <c r="K7" s="73"/>
    </row>
    <row r="8" spans="1:12" x14ac:dyDescent="0.35">
      <c r="A8" s="152" t="s">
        <v>40</v>
      </c>
      <c r="B8" s="66">
        <f>Dashboard!B14</f>
        <v>3</v>
      </c>
      <c r="C8" s="45">
        <f>VLOOKUP(Dashboard!$B$3, 'Perm Staff Wage Data'!$A$55:$E$64, 5, FALSE)</f>
        <v>71798.399999999994</v>
      </c>
      <c r="D8" s="46">
        <f>C8*(1+Dashboard!$B$6)</f>
        <v>77255.078399999999</v>
      </c>
      <c r="E8" s="44"/>
      <c r="F8" s="45"/>
      <c r="G8" s="46">
        <f>IF(D8=0, 0, IF(D8&gt;$D$14, $E$14, (D8-$C$14)*$B$14))</f>
        <v>3754.45</v>
      </c>
      <c r="H8" s="46">
        <f>IF(D8&gt;$D$15, $E$15, D8*$B$15)</f>
        <v>1403.43</v>
      </c>
      <c r="I8" s="47">
        <f>(D8+SUM(G8:H8))*B8</f>
        <v>247238.87520000001</v>
      </c>
    </row>
    <row r="9" spans="1:12" x14ac:dyDescent="0.35">
      <c r="H9" s="42" t="s">
        <v>58</v>
      </c>
      <c r="I9" s="47">
        <f>SUM(I4:I8)</f>
        <v>2291737.5938233603</v>
      </c>
    </row>
    <row r="10" spans="1:12" x14ac:dyDescent="0.35">
      <c r="B10" s="153"/>
    </row>
    <row r="13" spans="1:12" x14ac:dyDescent="0.35">
      <c r="A13" s="50"/>
      <c r="B13" s="51" t="s">
        <v>74</v>
      </c>
      <c r="C13" s="51" t="s">
        <v>75</v>
      </c>
      <c r="D13" s="51" t="s">
        <v>76</v>
      </c>
      <c r="E13" s="51" t="s">
        <v>77</v>
      </c>
      <c r="F13" s="50"/>
    </row>
    <row r="14" spans="1:12" x14ac:dyDescent="0.35">
      <c r="A14" s="50" t="s">
        <v>78</v>
      </c>
      <c r="B14" s="52">
        <v>5.9499999999999997E-2</v>
      </c>
      <c r="C14" s="53">
        <v>3500</v>
      </c>
      <c r="D14" s="53">
        <v>66600</v>
      </c>
      <c r="E14" s="53">
        <v>3754.45</v>
      </c>
      <c r="F14" s="50"/>
    </row>
    <row r="15" spans="1:12" x14ac:dyDescent="0.35">
      <c r="A15" s="50" t="s">
        <v>72</v>
      </c>
      <c r="B15" s="54">
        <v>1.6299999999999999E-2</v>
      </c>
      <c r="C15" s="50"/>
      <c r="D15" s="53">
        <v>61500</v>
      </c>
      <c r="E15" s="53">
        <v>1403.43</v>
      </c>
      <c r="F15" s="50"/>
    </row>
    <row r="16" spans="1:12" x14ac:dyDescent="0.35">
      <c r="A16" s="50" t="s">
        <v>79</v>
      </c>
      <c r="B16" s="50"/>
      <c r="C16" s="50"/>
      <c r="D16" s="50"/>
      <c r="E16" s="50"/>
      <c r="F16" s="50"/>
    </row>
    <row r="17" spans="1:10" x14ac:dyDescent="0.35">
      <c r="A17" s="55" t="s">
        <v>80</v>
      </c>
      <c r="B17" s="50"/>
      <c r="C17" s="50"/>
      <c r="D17" s="50"/>
      <c r="E17" s="50"/>
      <c r="F17" s="50"/>
    </row>
    <row r="18" spans="1:10" x14ac:dyDescent="0.35">
      <c r="C18" s="131"/>
      <c r="D18" s="183" t="s">
        <v>81</v>
      </c>
      <c r="E18" s="183"/>
      <c r="F18" s="183"/>
      <c r="G18" s="183"/>
    </row>
    <row r="19" spans="1:10" x14ac:dyDescent="0.35">
      <c r="C19" s="130" t="s">
        <v>82</v>
      </c>
      <c r="D19" s="134" t="s">
        <v>83</v>
      </c>
      <c r="E19" s="134" t="s">
        <v>84</v>
      </c>
      <c r="F19" s="134" t="s">
        <v>85</v>
      </c>
      <c r="G19" s="134" t="s">
        <v>86</v>
      </c>
    </row>
    <row r="20" spans="1:10" x14ac:dyDescent="0.35">
      <c r="A20" s="43"/>
      <c r="B20" s="48" t="s">
        <v>3</v>
      </c>
      <c r="C20" s="131" t="s">
        <v>36</v>
      </c>
      <c r="D20" s="128">
        <v>0.5</v>
      </c>
      <c r="E20" s="128">
        <v>0.75</v>
      </c>
      <c r="F20" s="128">
        <v>1</v>
      </c>
      <c r="G20" s="129">
        <v>0.25</v>
      </c>
    </row>
    <row r="21" spans="1:10" x14ac:dyDescent="0.35">
      <c r="A21" s="49"/>
      <c r="B21" s="48" t="s">
        <v>87</v>
      </c>
    </row>
    <row r="22" spans="1:10" x14ac:dyDescent="0.35">
      <c r="A22" s="58"/>
      <c r="B22" s="48" t="s">
        <v>88</v>
      </c>
      <c r="C22" s="131"/>
      <c r="D22" s="183" t="s">
        <v>89</v>
      </c>
      <c r="E22" s="183"/>
      <c r="F22" s="183"/>
      <c r="G22" s="183"/>
      <c r="H22" s="183" t="s">
        <v>90</v>
      </c>
      <c r="I22" s="183"/>
      <c r="J22" s="183"/>
    </row>
    <row r="23" spans="1:10" x14ac:dyDescent="0.35">
      <c r="A23" s="59"/>
      <c r="B23" s="48" t="s">
        <v>91</v>
      </c>
      <c r="C23" s="131"/>
      <c r="D23" s="130" t="s">
        <v>92</v>
      </c>
      <c r="E23" s="130" t="s">
        <v>93</v>
      </c>
      <c r="F23" s="130" t="s">
        <v>94</v>
      </c>
      <c r="G23" s="130" t="s">
        <v>95</v>
      </c>
      <c r="H23" s="130" t="s">
        <v>96</v>
      </c>
      <c r="I23" s="135" t="s">
        <v>97</v>
      </c>
      <c r="J23" s="130" t="s">
        <v>98</v>
      </c>
    </row>
    <row r="24" spans="1:10" x14ac:dyDescent="0.35">
      <c r="C24" s="131" t="s">
        <v>99</v>
      </c>
      <c r="D24" s="131">
        <v>0.5</v>
      </c>
      <c r="E24" s="131">
        <v>0.75</v>
      </c>
      <c r="F24" s="131">
        <v>1</v>
      </c>
      <c r="G24" s="132">
        <v>0.25</v>
      </c>
      <c r="H24" s="131">
        <v>0.5</v>
      </c>
      <c r="I24" s="131">
        <v>1</v>
      </c>
      <c r="J24" s="133">
        <v>0.5</v>
      </c>
    </row>
    <row r="26" spans="1:10" x14ac:dyDescent="0.35">
      <c r="C26" s="131"/>
      <c r="D26" s="130" t="s">
        <v>100</v>
      </c>
      <c r="E26" s="130" t="s">
        <v>101</v>
      </c>
      <c r="F26" s="130" t="s">
        <v>102</v>
      </c>
    </row>
    <row r="27" spans="1:10" x14ac:dyDescent="0.35">
      <c r="C27" s="131" t="s">
        <v>38</v>
      </c>
      <c r="D27" s="131">
        <v>1</v>
      </c>
      <c r="E27" s="131">
        <v>1</v>
      </c>
      <c r="F27" s="131">
        <v>1</v>
      </c>
    </row>
    <row r="29" spans="1:10" x14ac:dyDescent="0.35">
      <c r="C29" s="131"/>
      <c r="D29" s="183" t="s">
        <v>103</v>
      </c>
      <c r="E29" s="183"/>
      <c r="F29" s="183"/>
    </row>
    <row r="30" spans="1:10" x14ac:dyDescent="0.35">
      <c r="C30" s="131"/>
      <c r="D30" s="130" t="s">
        <v>104</v>
      </c>
      <c r="E30" s="130" t="s">
        <v>105</v>
      </c>
      <c r="F30" s="130" t="s">
        <v>106</v>
      </c>
    </row>
    <row r="31" spans="1:10" x14ac:dyDescent="0.35">
      <c r="C31" s="131" t="s">
        <v>107</v>
      </c>
      <c r="D31" s="131">
        <v>0.5</v>
      </c>
      <c r="E31" s="131">
        <v>1</v>
      </c>
      <c r="F31" s="131">
        <v>0.5</v>
      </c>
    </row>
  </sheetData>
  <protectedRanges>
    <protectedRange sqref="B14:E15" name="Range1_4"/>
  </protectedRanges>
  <mergeCells count="4">
    <mergeCell ref="D18:G18"/>
    <mergeCell ref="D22:G22"/>
    <mergeCell ref="H22:J22"/>
    <mergeCell ref="D29:F29"/>
  </mergeCells>
  <hyperlinks>
    <hyperlink ref="A16" r:id="rId1" xr:uid="{B2BB4E89-FD93-4699-B186-D3A28E5D48A3}"/>
    <hyperlink ref="A17" r:id="rId2" location="tb2" xr:uid="{22D36CB2-EA92-419F-863C-CD107525FE82}"/>
  </hyperlink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793C-EC6A-4ECD-BE8A-909AA44FDF03}">
  <dimension ref="A1:BR38"/>
  <sheetViews>
    <sheetView zoomScale="70" zoomScaleNormal="70" workbookViewId="0">
      <selection activeCell="D25" sqref="D25"/>
    </sheetView>
  </sheetViews>
  <sheetFormatPr defaultColWidth="8.81640625" defaultRowHeight="14.5" x14ac:dyDescent="0.35"/>
  <cols>
    <col min="1" max="1" width="50.1796875" style="1" customWidth="1"/>
    <col min="2" max="2" width="42.1796875" style="1" bestFit="1" customWidth="1"/>
    <col min="3" max="3" width="51.1796875" style="1" bestFit="1" customWidth="1"/>
    <col min="4" max="4" width="61.54296875" style="1" customWidth="1"/>
    <col min="5" max="5" width="22.54296875" style="1" customWidth="1"/>
    <col min="6" max="6" width="27.81640625" style="1" customWidth="1"/>
    <col min="7" max="7" width="17.1796875" style="1" customWidth="1"/>
    <col min="8" max="8" width="14.81640625" style="1" bestFit="1" customWidth="1"/>
    <col min="9" max="9" width="12.1796875" style="1" bestFit="1" customWidth="1"/>
    <col min="10" max="16384" width="8.81640625" style="1"/>
  </cols>
  <sheetData>
    <row r="1" spans="1:70" customFormat="1" ht="15.5" x14ac:dyDescent="0.35">
      <c r="A1" s="48"/>
      <c r="B1" s="48"/>
      <c r="C1" s="48"/>
      <c r="D1" s="48"/>
      <c r="E1" s="48"/>
      <c r="F1" s="48"/>
      <c r="G1" s="48"/>
      <c r="H1" s="48"/>
      <c r="I1" s="48"/>
      <c r="J1" s="48"/>
      <c r="K1" s="48"/>
      <c r="L1" s="48"/>
      <c r="M1" s="48"/>
      <c r="N1" s="48"/>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1:70" customFormat="1" ht="15.5" x14ac:dyDescent="0.35">
      <c r="A2" s="48"/>
      <c r="B2" s="48"/>
      <c r="C2" s="48"/>
      <c r="D2" s="48"/>
      <c r="E2" s="48"/>
      <c r="F2" s="48"/>
      <c r="G2" s="48"/>
      <c r="H2" s="48"/>
      <c r="I2" s="48"/>
      <c r="J2" s="48"/>
      <c r="K2" s="48"/>
      <c r="L2" s="48"/>
      <c r="M2" s="48"/>
      <c r="N2" s="48"/>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customFormat="1" ht="41.15" customHeight="1" x14ac:dyDescent="0.45">
      <c r="A3" s="75" t="s">
        <v>108</v>
      </c>
      <c r="B3" s="40" t="s">
        <v>109</v>
      </c>
      <c r="C3" s="40" t="s">
        <v>110</v>
      </c>
      <c r="D3" s="40" t="s">
        <v>111</v>
      </c>
      <c r="E3" s="1"/>
      <c r="F3" s="40" t="s">
        <v>73</v>
      </c>
      <c r="G3" s="1"/>
      <c r="H3" s="1"/>
      <c r="I3" s="1"/>
      <c r="J3" s="40"/>
      <c r="K3" s="40"/>
      <c r="L3" s="40"/>
      <c r="M3" s="40"/>
      <c r="N3" s="40"/>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customFormat="1" ht="15.5" x14ac:dyDescent="0.35">
      <c r="A4" s="42" t="s">
        <v>42</v>
      </c>
      <c r="B4" s="66">
        <f>ROUND(0.1*SUM(Dashboard!B10:B11), 0)</f>
        <v>42</v>
      </c>
      <c r="C4" s="45">
        <f>VLOOKUP(Dashboard!$B$3, 'Specialist Fees Data'!$A$3:$D$12, 4, FALSE)</f>
        <v>2630</v>
      </c>
      <c r="D4" s="46">
        <f>C4*(1+Dashboard!$B$6)</f>
        <v>2829.88</v>
      </c>
      <c r="E4" s="1"/>
      <c r="F4" s="47">
        <f>D4*B4</f>
        <v>118854.96</v>
      </c>
      <c r="G4" s="1"/>
      <c r="H4" s="1"/>
      <c r="I4" s="1"/>
      <c r="J4" s="48"/>
      <c r="K4" s="48"/>
      <c r="L4" s="48"/>
      <c r="M4" s="48"/>
      <c r="N4" s="48"/>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customFormat="1" ht="15.5" x14ac:dyDescent="0.35">
      <c r="A5" s="1"/>
      <c r="B5" s="1"/>
      <c r="C5" s="1"/>
      <c r="D5" s="1"/>
      <c r="E5" s="1"/>
      <c r="F5" s="1"/>
      <c r="G5" s="1"/>
      <c r="H5" s="1"/>
      <c r="I5" s="1"/>
      <c r="J5" s="48"/>
      <c r="K5" s="48"/>
      <c r="L5" s="48"/>
      <c r="M5" s="48"/>
      <c r="N5" s="48"/>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customFormat="1" ht="15.5" x14ac:dyDescent="0.35">
      <c r="A6" s="1"/>
      <c r="B6" s="1"/>
      <c r="C6" s="1"/>
      <c r="D6" s="1"/>
      <c r="E6" s="1"/>
      <c r="F6" s="1"/>
      <c r="G6" s="1"/>
      <c r="H6" s="1"/>
      <c r="I6" s="1"/>
      <c r="J6" s="48"/>
      <c r="K6" s="48"/>
      <c r="L6" s="48"/>
      <c r="M6" s="48"/>
      <c r="N6" s="48"/>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row>
    <row r="7" spans="1:70" customFormat="1" ht="48" customHeight="1" x14ac:dyDescent="0.45">
      <c r="A7" s="75" t="s">
        <v>108</v>
      </c>
      <c r="B7" s="40" t="s">
        <v>112</v>
      </c>
      <c r="C7" s="40" t="s">
        <v>113</v>
      </c>
      <c r="D7" s="41" t="s">
        <v>114</v>
      </c>
      <c r="E7" s="40"/>
      <c r="F7" s="1"/>
      <c r="G7" s="1"/>
      <c r="H7" s="1"/>
      <c r="I7" s="1"/>
      <c r="J7" s="48"/>
      <c r="K7" s="48"/>
      <c r="L7" s="48"/>
      <c r="M7" s="48"/>
      <c r="N7" s="48"/>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row>
    <row r="8" spans="1:70" customFormat="1" ht="15.5" x14ac:dyDescent="0.35">
      <c r="A8" s="42" t="s">
        <v>43</v>
      </c>
      <c r="B8" s="66">
        <f>(Dashboard!$B$13)+(ROUND(Dashboard!$B$12/5, 0))</f>
        <v>38</v>
      </c>
      <c r="C8" s="45">
        <f>VLOOKUP(Dashboard!$B$3, 'Specialist Fees Data'!$A$16:$D$25, 4, FALSE)</f>
        <v>112.5</v>
      </c>
      <c r="D8" s="46">
        <f>C8*(1+Dashboard!$B$6)</f>
        <v>121.05000000000001</v>
      </c>
      <c r="E8" s="1"/>
      <c r="F8" s="47">
        <f>(D8*B8)*36</f>
        <v>165596.40000000002</v>
      </c>
      <c r="G8" s="1"/>
      <c r="H8" s="1"/>
      <c r="I8" s="1"/>
      <c r="J8" s="48"/>
      <c r="K8" s="48"/>
      <c r="L8" s="48"/>
      <c r="M8" s="48"/>
      <c r="N8" s="48"/>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row>
    <row r="9" spans="1:70" customFormat="1" ht="15.5" x14ac:dyDescent="0.35">
      <c r="A9" s="42" t="s">
        <v>44</v>
      </c>
      <c r="B9" s="66">
        <f>(Dashboard!$B$13)+(ROUND(Dashboard!$B$12/5, 0))</f>
        <v>38</v>
      </c>
      <c r="C9" s="45">
        <f>VLOOKUP(Dashboard!$B$3, 'Specialist Fees Data'!$A$29:$D$38, 4, FALSE)</f>
        <v>160</v>
      </c>
      <c r="D9" s="46">
        <f>C9*(1+Dashboard!$B$6)</f>
        <v>172.16000000000003</v>
      </c>
      <c r="E9" s="1"/>
      <c r="F9" s="47">
        <f>(D9*B9)*36</f>
        <v>235514.88000000003</v>
      </c>
      <c r="G9" s="1"/>
      <c r="H9" s="1"/>
      <c r="I9" s="1"/>
      <c r="J9" s="48"/>
      <c r="K9" s="48"/>
      <c r="L9" s="48"/>
      <c r="M9" s="48"/>
      <c r="N9" s="48"/>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row>
    <row r="10" spans="1:70" customFormat="1" ht="15.5" x14ac:dyDescent="0.35">
      <c r="A10" s="42" t="s">
        <v>45</v>
      </c>
      <c r="B10" s="66">
        <f>(Dashboard!$B$13)+(ROUND(Dashboard!$B$12/5, 0))</f>
        <v>38</v>
      </c>
      <c r="C10" s="45">
        <f>VLOOKUP(Dashboard!$B$3, 'Specialist Fees Data'!$A$42:$D$51, 4, FALSE)</f>
        <v>142.5</v>
      </c>
      <c r="D10" s="46">
        <f>C10*(1+Dashboard!$B$6)</f>
        <v>153.33000000000001</v>
      </c>
      <c r="E10" s="1"/>
      <c r="F10" s="47">
        <f>(D10*B10)*36</f>
        <v>209755.44000000003</v>
      </c>
      <c r="G10" s="1"/>
      <c r="H10" s="48"/>
      <c r="I10" s="48"/>
      <c r="J10" s="48"/>
      <c r="K10" s="48"/>
      <c r="L10" s="48"/>
      <c r="M10" s="48"/>
      <c r="N10" s="48"/>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row>
    <row r="11" spans="1:70" customFormat="1" ht="15.5" x14ac:dyDescent="0.35">
      <c r="A11" s="42" t="s">
        <v>46</v>
      </c>
      <c r="B11" s="66">
        <f>40*(SUM(Dashboard!B10:B11)/500)</f>
        <v>33.839999999999996</v>
      </c>
      <c r="C11" s="45">
        <f>VLOOKUP(Dashboard!$B$3, 'Specialist Fees Data'!$A$56:$D$65, 4, FALSE)</f>
        <v>187.5</v>
      </c>
      <c r="D11" s="46">
        <f>C11*(1+Dashboard!$B$6)</f>
        <v>201.75</v>
      </c>
      <c r="E11" s="1"/>
      <c r="F11" s="47">
        <f>(D11*B11)*36</f>
        <v>245779.91999999998</v>
      </c>
      <c r="G11" s="1"/>
      <c r="H11" s="48"/>
      <c r="I11" s="48"/>
      <c r="J11" s="48"/>
      <c r="K11" s="48"/>
      <c r="L11" s="48"/>
      <c r="M11" s="48"/>
      <c r="N11" s="48"/>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row>
    <row r="12" spans="1:70" customFormat="1" ht="15.5" x14ac:dyDescent="0.35">
      <c r="A12" s="48"/>
      <c r="B12" s="48"/>
      <c r="C12" s="48"/>
      <c r="D12" s="1"/>
      <c r="E12" s="42" t="s">
        <v>58</v>
      </c>
      <c r="F12" s="47">
        <f>SUM(F4,F8:F11)</f>
        <v>975501.60000000009</v>
      </c>
      <c r="G12" s="1"/>
      <c r="H12" s="48"/>
      <c r="I12" s="48"/>
      <c r="J12" s="48"/>
      <c r="K12" s="48"/>
      <c r="L12" s="48"/>
      <c r="M12" s="48"/>
      <c r="N12" s="48"/>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row>
    <row r="13" spans="1:70" customFormat="1" ht="15.5" x14ac:dyDescent="0.35">
      <c r="A13" s="1"/>
      <c r="B13" s="1"/>
      <c r="C13" s="1"/>
      <c r="D13" s="2"/>
      <c r="E13" s="1"/>
      <c r="F13" s="1"/>
      <c r="G13" s="48"/>
      <c r="H13" s="48"/>
      <c r="I13" s="48"/>
      <c r="J13" s="48"/>
      <c r="K13" s="48"/>
      <c r="L13" s="48"/>
      <c r="M13" s="48"/>
      <c r="N13" s="48"/>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row>
    <row r="14" spans="1:70" customFormat="1" ht="15.5" x14ac:dyDescent="0.35">
      <c r="A14" s="50"/>
      <c r="B14" s="109"/>
      <c r="C14" s="72"/>
      <c r="D14" s="2"/>
      <c r="E14" s="72"/>
      <c r="F14" s="50"/>
      <c r="G14" s="48"/>
      <c r="H14" s="48"/>
      <c r="I14" s="48"/>
      <c r="J14" s="48"/>
      <c r="K14" s="48"/>
      <c r="L14" s="48"/>
      <c r="M14" s="48"/>
      <c r="N14" s="48"/>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row>
    <row r="15" spans="1:70" customFormat="1" ht="15.5" x14ac:dyDescent="0.35">
      <c r="A15" s="50"/>
      <c r="B15" s="50"/>
      <c r="C15" s="50"/>
      <c r="D15" s="2"/>
      <c r="E15" s="50"/>
      <c r="F15" s="50"/>
      <c r="G15" s="48"/>
      <c r="H15" s="48"/>
      <c r="I15" s="48"/>
      <c r="J15" s="48"/>
      <c r="K15" s="48"/>
      <c r="L15" s="48"/>
      <c r="M15" s="48"/>
      <c r="N15" s="48"/>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row>
    <row r="16" spans="1:70" customFormat="1" ht="15.5" x14ac:dyDescent="0.35">
      <c r="A16" s="55"/>
      <c r="B16" s="50"/>
      <c r="C16" s="50"/>
      <c r="D16" s="2"/>
      <c r="E16" s="50"/>
      <c r="F16" s="50"/>
      <c r="G16" s="42"/>
      <c r="H16" s="48"/>
      <c r="I16" s="48"/>
      <c r="J16" s="48"/>
      <c r="K16" s="48"/>
      <c r="L16" s="48"/>
      <c r="M16" s="48"/>
      <c r="N16" s="48"/>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row>
    <row r="17" spans="1:70" customFormat="1" ht="15.5" x14ac:dyDescent="0.35">
      <c r="A17" s="48"/>
      <c r="B17" s="48"/>
      <c r="C17" s="48"/>
      <c r="D17" s="42"/>
      <c r="E17" s="142"/>
      <c r="F17" s="142"/>
      <c r="G17" s="138"/>
      <c r="H17" s="48"/>
      <c r="I17" s="48"/>
      <c r="J17" s="48"/>
      <c r="K17" s="48"/>
      <c r="L17" s="48"/>
      <c r="M17" s="48"/>
      <c r="N17" s="48"/>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row>
    <row r="18" spans="1:70" customFormat="1" ht="15.5" x14ac:dyDescent="0.35">
      <c r="A18" s="48"/>
      <c r="B18" s="48"/>
      <c r="C18" s="130"/>
      <c r="D18" s="137" t="s">
        <v>115</v>
      </c>
      <c r="E18" s="140"/>
      <c r="F18" s="140"/>
      <c r="G18" s="141"/>
      <c r="H18" s="48"/>
      <c r="I18" s="48"/>
      <c r="J18" s="48"/>
      <c r="K18" s="48"/>
      <c r="L18" s="48"/>
      <c r="M18" s="48"/>
      <c r="N18" s="48"/>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row>
    <row r="19" spans="1:70" customFormat="1" ht="46.5" x14ac:dyDescent="0.35">
      <c r="A19" s="43"/>
      <c r="B19" s="48" t="s">
        <v>3</v>
      </c>
      <c r="C19" s="143" t="s">
        <v>42</v>
      </c>
      <c r="D19" s="144" t="s">
        <v>116</v>
      </c>
      <c r="E19" s="145"/>
      <c r="F19" s="132"/>
      <c r="G19" s="131"/>
      <c r="H19" s="48"/>
      <c r="I19" s="48"/>
      <c r="J19" s="48"/>
      <c r="K19" s="48"/>
      <c r="L19" s="48"/>
      <c r="M19" s="48"/>
      <c r="N19" s="48"/>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row>
    <row r="20" spans="1:70" customFormat="1" ht="46.5" x14ac:dyDescent="0.35">
      <c r="A20" s="49"/>
      <c r="B20" s="48" t="s">
        <v>87</v>
      </c>
      <c r="C20" s="143" t="s">
        <v>43</v>
      </c>
      <c r="D20" s="146" t="s">
        <v>117</v>
      </c>
      <c r="E20" s="147" t="s">
        <v>118</v>
      </c>
      <c r="F20" s="131"/>
      <c r="G20" s="130"/>
      <c r="H20" s="48"/>
      <c r="I20" s="48"/>
      <c r="J20" s="48"/>
      <c r="K20" s="48"/>
      <c r="L20" s="48"/>
      <c r="M20" s="48"/>
      <c r="N20" s="48"/>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row>
    <row r="21" spans="1:70" customFormat="1" ht="46.5" x14ac:dyDescent="0.35">
      <c r="A21" s="58"/>
      <c r="B21" s="48" t="s">
        <v>88</v>
      </c>
      <c r="C21" s="143" t="s">
        <v>44</v>
      </c>
      <c r="D21" s="146" t="s">
        <v>117</v>
      </c>
      <c r="E21" s="147" t="s">
        <v>118</v>
      </c>
      <c r="F21" s="130"/>
      <c r="G21" s="131"/>
      <c r="H21" s="48"/>
      <c r="I21" s="48"/>
      <c r="J21" s="48"/>
      <c r="K21" s="48"/>
      <c r="L21" s="48"/>
      <c r="M21" s="48"/>
      <c r="N21" s="48"/>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row>
    <row r="22" spans="1:70" customFormat="1" ht="46.5" x14ac:dyDescent="0.35">
      <c r="A22" s="59"/>
      <c r="B22" s="48" t="s">
        <v>91</v>
      </c>
      <c r="C22" s="143" t="s">
        <v>119</v>
      </c>
      <c r="D22" s="146" t="s">
        <v>117</v>
      </c>
      <c r="E22" s="147" t="s">
        <v>118</v>
      </c>
      <c r="F22" s="131"/>
      <c r="G22" s="139"/>
      <c r="H22" s="1"/>
      <c r="I22" s="42"/>
      <c r="J22" s="42"/>
      <c r="K22" s="48"/>
      <c r="L22" s="48"/>
      <c r="M22" s="48"/>
      <c r="N22" s="48"/>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row>
    <row r="23" spans="1:70" customFormat="1" ht="62" x14ac:dyDescent="0.35">
      <c r="A23" s="48"/>
      <c r="B23" s="48"/>
      <c r="C23" s="143" t="s">
        <v>46</v>
      </c>
      <c r="D23" s="147" t="s">
        <v>120</v>
      </c>
      <c r="E23" s="146"/>
      <c r="F23" s="136"/>
      <c r="G23" s="131"/>
      <c r="H23" s="48"/>
      <c r="I23" s="60"/>
      <c r="J23" s="48"/>
      <c r="K23" s="48"/>
      <c r="L23" s="48"/>
      <c r="M23" s="48"/>
      <c r="N23" s="48"/>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row>
    <row r="24" spans="1:70" customFormat="1" ht="15.5" x14ac:dyDescent="0.35">
      <c r="A24" s="1"/>
      <c r="B24" s="1"/>
      <c r="C24" s="1"/>
      <c r="D24" s="1"/>
      <c r="E24" s="1"/>
      <c r="F24" s="1"/>
      <c r="G24" s="48"/>
      <c r="H24" s="48"/>
      <c r="I24" s="48"/>
      <c r="J24" s="57"/>
      <c r="K24" s="48"/>
      <c r="L24" s="48"/>
      <c r="M24" s="48"/>
      <c r="N24" s="48"/>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row>
    <row r="25" spans="1:70" customFormat="1" ht="15.5" x14ac:dyDescent="0.35">
      <c r="A25" s="1"/>
      <c r="B25" s="1"/>
      <c r="C25" s="1"/>
      <c r="D25" s="1"/>
      <c r="E25" s="1"/>
      <c r="F25" s="1"/>
      <c r="G25" s="48"/>
      <c r="H25" s="48"/>
      <c r="I25" s="48"/>
      <c r="J25" s="48"/>
      <c r="K25" s="48"/>
      <c r="L25" s="48"/>
      <c r="M25" s="48"/>
      <c r="N25" s="48"/>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row>
    <row r="26" spans="1:70" customFormat="1" ht="15.5" x14ac:dyDescent="0.35">
      <c r="A26" s="1"/>
      <c r="B26" s="1"/>
      <c r="C26" s="1"/>
      <c r="D26" s="1"/>
      <c r="E26" s="1"/>
      <c r="F26" s="1"/>
      <c r="G26" s="48"/>
      <c r="H26" s="48"/>
      <c r="I26" s="48"/>
      <c r="J26" s="48"/>
      <c r="K26" s="48"/>
      <c r="L26" s="48"/>
      <c r="M26" s="48"/>
      <c r="N26" s="48"/>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row>
    <row r="27" spans="1:70" customFormat="1" ht="15.5" x14ac:dyDescent="0.35">
      <c r="A27" s="1"/>
      <c r="B27" s="1"/>
      <c r="C27" s="1"/>
      <c r="D27" s="1"/>
      <c r="E27" s="1"/>
      <c r="F27" s="1"/>
      <c r="G27" s="1"/>
      <c r="H27" s="48"/>
      <c r="I27" s="48"/>
      <c r="J27" s="48"/>
      <c r="K27" s="48"/>
      <c r="L27" s="48"/>
      <c r="M27" s="48"/>
      <c r="N27" s="48"/>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row>
    <row r="28" spans="1:70" customFormat="1" ht="15.5" x14ac:dyDescent="0.35">
      <c r="A28" s="1"/>
      <c r="B28" s="1"/>
      <c r="C28" s="1"/>
      <c r="D28" s="1"/>
      <c r="E28" s="1"/>
      <c r="F28" s="1"/>
      <c r="G28" s="1"/>
      <c r="H28" s="48"/>
      <c r="I28" s="48"/>
      <c r="J28" s="48"/>
      <c r="K28" s="48"/>
      <c r="L28" s="48"/>
      <c r="M28" s="48"/>
      <c r="N28" s="48"/>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row>
    <row r="29" spans="1:70" customFormat="1" ht="15.5" x14ac:dyDescent="0.35">
      <c r="A29" s="1"/>
      <c r="B29" s="1"/>
      <c r="C29" s="1"/>
      <c r="D29" s="1"/>
      <c r="E29" s="1"/>
      <c r="F29" s="1"/>
      <c r="G29" s="48"/>
      <c r="H29" s="48"/>
      <c r="I29" s="48"/>
      <c r="J29" s="48"/>
      <c r="K29" s="48"/>
      <c r="L29" s="48"/>
      <c r="M29" s="48"/>
      <c r="N29" s="48"/>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row>
    <row r="30" spans="1:70" customFormat="1" ht="15.5" x14ac:dyDescent="0.35">
      <c r="A30" s="48"/>
      <c r="B30" s="48"/>
      <c r="C30" s="48"/>
      <c r="D30" s="48"/>
      <c r="E30" s="48"/>
      <c r="F30" s="48"/>
      <c r="G30" s="48"/>
      <c r="H30" s="48"/>
      <c r="I30" s="48"/>
      <c r="J30" s="48"/>
      <c r="K30" s="48"/>
      <c r="L30" s="48"/>
      <c r="M30" s="48"/>
      <c r="N30" s="48"/>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row>
    <row r="31" spans="1:70" customFormat="1" ht="15.5" x14ac:dyDescent="0.35">
      <c r="A31" s="48"/>
      <c r="B31" s="48"/>
      <c r="C31" s="48"/>
      <c r="D31" s="48"/>
      <c r="E31" s="48"/>
      <c r="F31" s="48"/>
      <c r="G31" s="48"/>
      <c r="H31" s="48"/>
      <c r="I31" s="48"/>
      <c r="J31" s="48"/>
      <c r="K31" s="48"/>
      <c r="L31" s="48"/>
      <c r="M31" s="48"/>
      <c r="N31" s="48"/>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row>
    <row r="32" spans="1:70" customFormat="1" ht="15.5" x14ac:dyDescent="0.35">
      <c r="A32" s="48"/>
      <c r="B32" s="48"/>
      <c r="C32" s="48"/>
      <c r="D32" s="48"/>
      <c r="E32" s="48"/>
      <c r="F32" s="48"/>
      <c r="G32" s="48"/>
      <c r="H32" s="48"/>
      <c r="I32" s="48"/>
      <c r="J32" s="48"/>
      <c r="K32" s="48"/>
      <c r="L32" s="48"/>
      <c r="M32" s="48"/>
      <c r="N32" s="48"/>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row>
    <row r="33" spans="1:70" customFormat="1" ht="15.5" x14ac:dyDescent="0.35">
      <c r="A33" s="48"/>
      <c r="B33" s="48"/>
      <c r="C33" s="48"/>
      <c r="D33" s="48"/>
      <c r="E33" s="48"/>
      <c r="F33" s="48"/>
      <c r="G33" s="48"/>
      <c r="H33" s="48"/>
      <c r="I33" s="48"/>
      <c r="J33" s="48"/>
      <c r="K33" s="48"/>
      <c r="L33" s="48"/>
      <c r="M33" s="48"/>
      <c r="N33" s="48"/>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row>
    <row r="34" spans="1:70" customFormat="1" ht="15.5" x14ac:dyDescent="0.35">
      <c r="A34" s="48"/>
      <c r="B34" s="48"/>
      <c r="C34" s="48"/>
      <c r="D34" s="48"/>
      <c r="E34" s="48"/>
      <c r="F34" s="48"/>
      <c r="G34" s="48"/>
      <c r="H34" s="48"/>
      <c r="I34" s="48"/>
      <c r="J34" s="48"/>
      <c r="K34" s="48"/>
      <c r="L34" s="48"/>
      <c r="M34" s="48"/>
      <c r="N34" s="48"/>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row>
    <row r="35" spans="1:70" customFormat="1" ht="15.5" x14ac:dyDescent="0.35">
      <c r="A35" s="48"/>
      <c r="B35" s="48"/>
      <c r="C35" s="48"/>
      <c r="D35" s="48"/>
      <c r="E35" s="48"/>
      <c r="F35" s="48"/>
      <c r="G35" s="48"/>
      <c r="H35" s="48"/>
      <c r="I35" s="48"/>
      <c r="J35" s="48"/>
      <c r="K35" s="48"/>
      <c r="L35" s="48"/>
      <c r="M35" s="48"/>
      <c r="N35" s="48"/>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row>
    <row r="36" spans="1:70" customFormat="1" ht="15.5" x14ac:dyDescent="0.35">
      <c r="A36" s="48"/>
      <c r="B36" s="48"/>
      <c r="C36" s="48"/>
      <c r="D36" s="48"/>
      <c r="E36" s="48"/>
      <c r="F36" s="48"/>
      <c r="G36" s="48"/>
      <c r="H36" s="48"/>
      <c r="I36" s="48"/>
      <c r="J36" s="48"/>
      <c r="K36" s="48"/>
      <c r="L36" s="48"/>
      <c r="M36" s="48"/>
      <c r="N36" s="48"/>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row>
    <row r="37" spans="1:70" customFormat="1" ht="15.5" x14ac:dyDescent="0.35">
      <c r="A37" s="48"/>
      <c r="B37" s="48"/>
      <c r="C37" s="48"/>
      <c r="D37" s="48"/>
      <c r="E37" s="48"/>
      <c r="F37" s="48"/>
      <c r="G37" s="48"/>
      <c r="H37" s="48"/>
      <c r="I37" s="48"/>
      <c r="J37" s="48"/>
      <c r="K37" s="48"/>
      <c r="L37" s="48"/>
      <c r="M37" s="48"/>
      <c r="N37" s="48"/>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row>
    <row r="38" spans="1:70" customFormat="1" ht="15.5" x14ac:dyDescent="0.35">
      <c r="A38" s="48"/>
      <c r="B38" s="48"/>
      <c r="C38" s="48"/>
      <c r="D38" s="48"/>
      <c r="E38" s="48"/>
      <c r="F38" s="48"/>
      <c r="G38" s="48"/>
      <c r="H38" s="48"/>
      <c r="I38" s="48"/>
      <c r="J38" s="48"/>
      <c r="K38" s="48"/>
      <c r="L38" s="48"/>
      <c r="M38" s="48"/>
      <c r="N38" s="48"/>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820A4-15A0-49FB-BC93-E1C6F28A38FB}">
  <dimension ref="A1:D15"/>
  <sheetViews>
    <sheetView zoomScale="85" zoomScaleNormal="85" workbookViewId="0"/>
  </sheetViews>
  <sheetFormatPr defaultColWidth="8.81640625" defaultRowHeight="14.5" x14ac:dyDescent="0.35"/>
  <cols>
    <col min="1" max="1" width="24" style="1" bestFit="1" customWidth="1"/>
    <col min="2" max="2" width="31.1796875" style="1" bestFit="1" customWidth="1"/>
    <col min="3" max="3" width="30.81640625" style="1" bestFit="1" customWidth="1"/>
    <col min="4" max="4" width="12.1796875" style="1" bestFit="1" customWidth="1"/>
    <col min="5" max="16384" width="8.81640625" style="1"/>
  </cols>
  <sheetData>
    <row r="1" spans="1:4" ht="15.5" x14ac:dyDescent="0.35">
      <c r="A1" s="39" t="s">
        <v>50</v>
      </c>
      <c r="B1" s="40" t="s">
        <v>23</v>
      </c>
      <c r="C1" s="40" t="s">
        <v>121</v>
      </c>
      <c r="D1" s="40" t="s">
        <v>73</v>
      </c>
    </row>
    <row r="2" spans="1:4" ht="15.5" x14ac:dyDescent="0.35">
      <c r="A2" s="7" t="s">
        <v>51</v>
      </c>
      <c r="B2" s="57"/>
      <c r="C2" s="73"/>
      <c r="D2" s="85"/>
    </row>
    <row r="3" spans="1:4" ht="15.5" x14ac:dyDescent="0.35">
      <c r="A3" s="77" t="s">
        <v>122</v>
      </c>
      <c r="B3" s="66">
        <f>Dashboard!$B$14</f>
        <v>3</v>
      </c>
      <c r="C3" s="45">
        <f>'Cultural Needs Data'!B3</f>
        <v>45000</v>
      </c>
      <c r="D3" s="47">
        <f>B3*C3</f>
        <v>135000</v>
      </c>
    </row>
    <row r="4" spans="1:4" ht="15.5" x14ac:dyDescent="0.35">
      <c r="A4" s="7" t="s">
        <v>52</v>
      </c>
      <c r="B4" s="57"/>
      <c r="C4" s="73"/>
      <c r="D4" s="85"/>
    </row>
    <row r="5" spans="1:4" ht="15.5" x14ac:dyDescent="0.35">
      <c r="A5" s="77" t="s">
        <v>123</v>
      </c>
      <c r="B5" s="66">
        <f>Dashboard!$B$14</f>
        <v>3</v>
      </c>
      <c r="C5" s="45">
        <f>'Cultural Needs Data'!B7</f>
        <v>25000</v>
      </c>
      <c r="D5" s="47">
        <f>B5*C5</f>
        <v>75000</v>
      </c>
    </row>
    <row r="6" spans="1:4" ht="15.5" x14ac:dyDescent="0.35">
      <c r="C6" s="84" t="s">
        <v>124</v>
      </c>
      <c r="D6" s="47">
        <f>SUM(D3,D5)</f>
        <v>210000</v>
      </c>
    </row>
    <row r="8" spans="1:4" ht="15.5" x14ac:dyDescent="0.35">
      <c r="C8" s="81"/>
      <c r="D8" s="85"/>
    </row>
    <row r="9" spans="1:4" ht="15.5" x14ac:dyDescent="0.35">
      <c r="C9" s="81"/>
      <c r="D9" s="85"/>
    </row>
    <row r="10" spans="1:4" ht="15.5" x14ac:dyDescent="0.35">
      <c r="A10" s="70"/>
      <c r="B10" s="48" t="s">
        <v>3</v>
      </c>
    </row>
    <row r="11" spans="1:4" ht="15.5" x14ac:dyDescent="0.35">
      <c r="A11" s="82"/>
      <c r="B11" s="48" t="s">
        <v>87</v>
      </c>
      <c r="C11" s="80"/>
      <c r="D11" s="80"/>
    </row>
    <row r="12" spans="1:4" ht="15.5" x14ac:dyDescent="0.35">
      <c r="A12" s="83"/>
      <c r="B12" s="48" t="s">
        <v>88</v>
      </c>
      <c r="C12" s="50"/>
      <c r="D12" s="80"/>
    </row>
    <row r="13" spans="1:4" ht="15.5" x14ac:dyDescent="0.35">
      <c r="A13" s="59"/>
      <c r="B13" s="48" t="s">
        <v>91</v>
      </c>
      <c r="C13" s="50"/>
      <c r="D13" s="50"/>
    </row>
    <row r="14" spans="1:4" ht="15.5" x14ac:dyDescent="0.35">
      <c r="C14" s="50"/>
      <c r="D14" s="50"/>
    </row>
    <row r="15" spans="1:4" ht="15.5" x14ac:dyDescent="0.35">
      <c r="C15" s="48"/>
      <c r="D15" s="42"/>
    </row>
  </sheetData>
  <protectedRanges>
    <protectedRange sqref="C11:D12" name="Range1_4_1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50327-3256-4853-96A5-8B46E47F24FE}">
  <dimension ref="A1:L32"/>
  <sheetViews>
    <sheetView zoomScale="85" zoomScaleNormal="85" workbookViewId="0"/>
  </sheetViews>
  <sheetFormatPr defaultColWidth="8.81640625" defaultRowHeight="14.5" x14ac:dyDescent="0.35"/>
  <cols>
    <col min="1" max="3" width="31.453125" style="1" customWidth="1"/>
    <col min="4" max="4" width="38.1796875" style="1" bestFit="1" customWidth="1"/>
    <col min="5" max="8" width="31.453125" style="1" customWidth="1"/>
    <col min="9" max="16384" width="8.81640625" style="1"/>
  </cols>
  <sheetData>
    <row r="1" spans="1:12" ht="15.5" x14ac:dyDescent="0.35">
      <c r="A1" s="7" t="s">
        <v>125</v>
      </c>
      <c r="B1" s="40" t="s">
        <v>126</v>
      </c>
      <c r="C1" s="40" t="s">
        <v>127</v>
      </c>
      <c r="D1" s="7" t="s">
        <v>128</v>
      </c>
      <c r="E1" s="40" t="s">
        <v>73</v>
      </c>
      <c r="F1" s="40"/>
      <c r="I1" s="40"/>
      <c r="J1" s="40"/>
      <c r="K1" s="40"/>
      <c r="L1" s="40"/>
    </row>
    <row r="2" spans="1:12" ht="15.5" x14ac:dyDescent="0.35">
      <c r="A2" s="7" t="s">
        <v>129</v>
      </c>
      <c r="B2" s="57"/>
      <c r="C2" s="73"/>
      <c r="E2" s="85"/>
      <c r="F2" s="73"/>
      <c r="I2" s="48"/>
      <c r="J2" s="48"/>
      <c r="K2" s="48"/>
      <c r="L2" s="48"/>
    </row>
    <row r="3" spans="1:12" ht="15.5" x14ac:dyDescent="0.35">
      <c r="A3" s="77" t="s">
        <v>130</v>
      </c>
      <c r="B3" s="66">
        <f>IF(ISBLANK(Dashboard!$B$16), Dashboard!$B$15, Dashboard!$B$16)</f>
        <v>25</v>
      </c>
      <c r="C3" s="45">
        <f>VLOOKUP(A3, 'Equipment and Resources Data'!$A$5:$B$11, 2, FALSE)</f>
        <v>3000</v>
      </c>
      <c r="D3" s="99">
        <f>C3*(1+Dashboard!$B$6)</f>
        <v>3228</v>
      </c>
      <c r="E3" s="47">
        <f>D3*B3</f>
        <v>80700</v>
      </c>
      <c r="F3" s="73"/>
      <c r="I3" s="48"/>
      <c r="J3" s="48"/>
      <c r="K3" s="48"/>
      <c r="L3" s="48"/>
    </row>
    <row r="4" spans="1:12" ht="15.5" x14ac:dyDescent="0.35">
      <c r="A4" s="77" t="s">
        <v>131</v>
      </c>
      <c r="B4" s="66">
        <f>IF(ISBLANK(Dashboard!$B$16), Dashboard!$B$15, Dashboard!$B$16)</f>
        <v>25</v>
      </c>
      <c r="C4" s="45">
        <f>VLOOKUP(A4, 'Equipment and Resources Data'!$A$5:$B$11, 2, FALSE)</f>
        <v>600</v>
      </c>
      <c r="D4" s="99">
        <f>C4*(1+Dashboard!$B$6)</f>
        <v>645.6</v>
      </c>
      <c r="E4" s="47">
        <f t="shared" ref="E4:E8" si="0">D4*B4</f>
        <v>16140</v>
      </c>
      <c r="F4" s="73"/>
      <c r="I4" s="48"/>
      <c r="J4" s="48"/>
      <c r="K4" s="48"/>
      <c r="L4" s="48"/>
    </row>
    <row r="5" spans="1:12" ht="15.5" x14ac:dyDescent="0.35">
      <c r="A5" s="77" t="s">
        <v>132</v>
      </c>
      <c r="B5" s="66">
        <f>IF(ISBLANK(Dashboard!$B$16), Dashboard!$B$15, Dashboard!$B$16)</f>
        <v>25</v>
      </c>
      <c r="C5" s="45">
        <v>333.33333333333331</v>
      </c>
      <c r="D5" s="99">
        <f>C5*(1+Dashboard!$B$6)</f>
        <v>358.66666666666669</v>
      </c>
      <c r="E5" s="47">
        <f>D5*B5</f>
        <v>8966.6666666666679</v>
      </c>
      <c r="F5" s="73"/>
      <c r="I5" s="48"/>
      <c r="J5" s="48"/>
      <c r="K5" s="48"/>
      <c r="L5" s="48"/>
    </row>
    <row r="6" spans="1:12" ht="15.5" x14ac:dyDescent="0.35">
      <c r="A6" s="77" t="s">
        <v>133</v>
      </c>
      <c r="B6" s="66">
        <f>IF(ISBLANK(Dashboard!$B$16), Dashboard!$B$15, Dashboard!$B$16)</f>
        <v>25</v>
      </c>
      <c r="C6" s="45">
        <f>VLOOKUP(A6, 'Equipment and Resources Data'!$A$5:$B$11, 2, FALSE)/3</f>
        <v>666.66666666666663</v>
      </c>
      <c r="D6" s="99">
        <f>C6*(1+Dashboard!$B$6)</f>
        <v>717.33333333333337</v>
      </c>
      <c r="E6" s="47">
        <f t="shared" si="0"/>
        <v>17933.333333333336</v>
      </c>
      <c r="F6" s="48"/>
      <c r="I6" s="48"/>
      <c r="J6" s="48"/>
      <c r="K6" s="48"/>
      <c r="L6" s="48"/>
    </row>
    <row r="7" spans="1:12" ht="15.5" x14ac:dyDescent="0.35">
      <c r="A7" s="77" t="s">
        <v>134</v>
      </c>
      <c r="B7" s="66">
        <f>IF(ISBLANK(Dashboard!$B$16), Dashboard!$B$15, Dashboard!$B$16)</f>
        <v>25</v>
      </c>
      <c r="C7" s="45">
        <f>VLOOKUP(A7, 'Equipment and Resources Data'!$A$5:$B$11, 2, FALSE)</f>
        <v>800</v>
      </c>
      <c r="D7" s="99">
        <f>C7*(1+Dashboard!$B$6)</f>
        <v>860.80000000000007</v>
      </c>
      <c r="E7" s="47">
        <f t="shared" si="0"/>
        <v>21520</v>
      </c>
      <c r="F7" s="48"/>
      <c r="I7" s="48"/>
      <c r="J7" s="48"/>
      <c r="K7" s="48"/>
      <c r="L7" s="48"/>
    </row>
    <row r="8" spans="1:12" ht="15.5" x14ac:dyDescent="0.35">
      <c r="A8" s="77" t="s">
        <v>135</v>
      </c>
      <c r="B8" s="66">
        <f>IF(ISBLANK(Dashboard!$B$16), Dashboard!$B$15, Dashboard!$B$16)</f>
        <v>25</v>
      </c>
      <c r="C8" s="45">
        <f>VLOOKUP(A8, 'Equipment and Resources Data'!$A$5:$B$11, 2, FALSE)</f>
        <v>250</v>
      </c>
      <c r="D8" s="99">
        <f>C8*(1+Dashboard!$B$6)</f>
        <v>269</v>
      </c>
      <c r="E8" s="47">
        <f t="shared" si="0"/>
        <v>6725</v>
      </c>
      <c r="F8" s="48"/>
      <c r="G8" s="48"/>
      <c r="H8" s="48"/>
      <c r="I8" s="48"/>
      <c r="J8" s="48"/>
      <c r="K8" s="48"/>
      <c r="L8" s="48"/>
    </row>
    <row r="9" spans="1:12" ht="15.5" x14ac:dyDescent="0.35">
      <c r="A9" s="77" t="s">
        <v>136</v>
      </c>
      <c r="B9" s="66">
        <f>IF(ISBLANK(Dashboard!$B$16), Dashboard!$B$15, Dashboard!$B$16)</f>
        <v>25</v>
      </c>
      <c r="C9" s="45">
        <f>VLOOKUP(A9, 'Equipment and Resources Data'!$A$5:$B$11, 2, FALSE)</f>
        <v>500</v>
      </c>
      <c r="D9" s="99">
        <f>C9*(1+Dashboard!$B$6)</f>
        <v>538</v>
      </c>
      <c r="E9" s="47">
        <f>D9*B9</f>
        <v>13450</v>
      </c>
      <c r="F9" s="48"/>
      <c r="G9" s="48"/>
      <c r="H9" s="48"/>
      <c r="I9" s="48"/>
      <c r="J9" s="48"/>
      <c r="K9" s="48"/>
      <c r="L9" s="48"/>
    </row>
    <row r="10" spans="1:12" ht="15.5" x14ac:dyDescent="0.35">
      <c r="D10" s="7" t="s">
        <v>58</v>
      </c>
      <c r="E10" s="47">
        <f>SUM(E3:E9)</f>
        <v>165435</v>
      </c>
      <c r="F10" s="48"/>
      <c r="G10" s="48"/>
      <c r="H10" s="48"/>
      <c r="I10" s="48"/>
      <c r="J10" s="48"/>
      <c r="K10" s="48"/>
      <c r="L10" s="48"/>
    </row>
    <row r="11" spans="1:12" ht="15.5" x14ac:dyDescent="0.35">
      <c r="F11" s="48"/>
      <c r="G11" s="48"/>
      <c r="H11" s="48"/>
      <c r="I11" s="48"/>
      <c r="J11" s="48"/>
      <c r="K11" s="48"/>
      <c r="L11" s="48"/>
    </row>
    <row r="12" spans="1:12" ht="15.5" x14ac:dyDescent="0.35">
      <c r="A12" s="7" t="s">
        <v>137</v>
      </c>
      <c r="B12" s="40" t="s">
        <v>23</v>
      </c>
      <c r="C12" s="40" t="s">
        <v>121</v>
      </c>
      <c r="D12" s="40" t="s">
        <v>73</v>
      </c>
      <c r="F12" s="48"/>
      <c r="G12" s="48"/>
      <c r="H12" s="48"/>
      <c r="I12" s="48"/>
      <c r="J12" s="48"/>
      <c r="K12" s="48"/>
      <c r="L12" s="48"/>
    </row>
    <row r="13" spans="1:12" ht="15.5" x14ac:dyDescent="0.35">
      <c r="A13" s="77" t="s">
        <v>138</v>
      </c>
      <c r="B13" s="66">
        <f>Dashboard!$B$14</f>
        <v>3</v>
      </c>
      <c r="C13" s="45">
        <f>VLOOKUP(A13, 'Equipment and Resources Data'!$A$16:$B$17, 2, FALSE)</f>
        <v>6000</v>
      </c>
      <c r="D13" s="47">
        <f>B13*C13</f>
        <v>18000</v>
      </c>
      <c r="F13" s="48"/>
      <c r="G13" s="48"/>
      <c r="H13" s="48"/>
      <c r="I13" s="48"/>
      <c r="J13" s="48"/>
      <c r="K13" s="48"/>
      <c r="L13" s="48"/>
    </row>
    <row r="14" spans="1:12" ht="15.5" x14ac:dyDescent="0.35">
      <c r="A14" s="77" t="s">
        <v>139</v>
      </c>
      <c r="B14" s="66">
        <f>Dashboard!$B$14</f>
        <v>3</v>
      </c>
      <c r="C14" s="45">
        <f>VLOOKUP(A14, 'Equipment and Resources Data'!$A$16:$B$17, 2, FALSE)</f>
        <v>5000</v>
      </c>
      <c r="D14" s="47">
        <f>B14*C14</f>
        <v>15000</v>
      </c>
      <c r="F14" s="48"/>
      <c r="G14" s="48"/>
      <c r="H14" s="48"/>
      <c r="I14" s="48"/>
      <c r="J14" s="48"/>
      <c r="K14" s="48"/>
      <c r="L14" s="48"/>
    </row>
    <row r="15" spans="1:12" ht="15.5" x14ac:dyDescent="0.35">
      <c r="C15" s="81" t="s">
        <v>140</v>
      </c>
      <c r="D15" s="47">
        <f>SUM(E3:E9)</f>
        <v>165435</v>
      </c>
      <c r="F15" s="48"/>
      <c r="G15" s="48"/>
      <c r="H15" s="48"/>
      <c r="I15" s="48"/>
      <c r="J15" s="48"/>
      <c r="K15" s="48"/>
      <c r="L15" s="48"/>
    </row>
    <row r="16" spans="1:12" ht="15.5" x14ac:dyDescent="0.35">
      <c r="C16" s="81" t="s">
        <v>141</v>
      </c>
      <c r="D16" s="47">
        <f>SUM(D13:D14)</f>
        <v>33000</v>
      </c>
      <c r="F16" s="42"/>
      <c r="G16" s="48"/>
      <c r="H16" s="48"/>
      <c r="I16" s="48"/>
      <c r="J16" s="48"/>
      <c r="K16" s="48"/>
      <c r="L16" s="48"/>
    </row>
    <row r="17" spans="1:12" ht="15.5" x14ac:dyDescent="0.35">
      <c r="C17" s="84" t="s">
        <v>142</v>
      </c>
      <c r="D17" s="47">
        <f>SUM(D15:D16)</f>
        <v>198435</v>
      </c>
      <c r="F17" s="48"/>
      <c r="G17" s="48"/>
      <c r="H17" s="48"/>
      <c r="I17" s="48"/>
      <c r="J17" s="48"/>
      <c r="K17" s="48"/>
      <c r="L17" s="48"/>
    </row>
    <row r="18" spans="1:12" ht="15.5" x14ac:dyDescent="0.35">
      <c r="F18" s="57"/>
      <c r="G18" s="48"/>
      <c r="H18" s="48"/>
      <c r="I18" s="48"/>
      <c r="J18" s="48"/>
      <c r="K18" s="48"/>
      <c r="L18" s="48"/>
    </row>
    <row r="19" spans="1:12" ht="15.5" x14ac:dyDescent="0.35">
      <c r="E19" s="48"/>
      <c r="F19" s="48"/>
      <c r="G19" s="48"/>
      <c r="H19" s="48"/>
      <c r="I19" s="48"/>
      <c r="J19" s="48"/>
      <c r="K19" s="48"/>
      <c r="L19" s="48"/>
    </row>
    <row r="20" spans="1:12" ht="15.5" x14ac:dyDescent="0.35">
      <c r="C20" s="80"/>
      <c r="D20" s="80"/>
      <c r="E20" s="48"/>
      <c r="F20" s="42"/>
      <c r="G20" s="42"/>
      <c r="H20" s="42"/>
      <c r="I20" s="42"/>
      <c r="J20" s="48"/>
      <c r="K20" s="48"/>
      <c r="L20" s="48"/>
    </row>
    <row r="21" spans="1:12" ht="15.5" x14ac:dyDescent="0.35">
      <c r="A21" s="70"/>
      <c r="B21" s="48" t="s">
        <v>3</v>
      </c>
      <c r="C21" s="48"/>
      <c r="D21" s="48"/>
      <c r="E21" s="48"/>
      <c r="F21" s="48"/>
      <c r="G21" s="48"/>
      <c r="H21" s="60"/>
      <c r="I21" s="48"/>
      <c r="J21" s="48"/>
      <c r="K21" s="48"/>
      <c r="L21" s="48"/>
    </row>
    <row r="22" spans="1:12" ht="15.5" x14ac:dyDescent="0.35">
      <c r="A22" s="82"/>
      <c r="B22" s="48" t="s">
        <v>87</v>
      </c>
      <c r="F22" s="56"/>
      <c r="G22" s="48"/>
      <c r="H22" s="48"/>
      <c r="I22" s="57"/>
      <c r="J22" s="48"/>
      <c r="K22" s="48"/>
      <c r="L22" s="48"/>
    </row>
    <row r="23" spans="1:12" ht="15.5" x14ac:dyDescent="0.35">
      <c r="A23" s="83"/>
      <c r="B23" s="48" t="s">
        <v>88</v>
      </c>
      <c r="C23" s="48"/>
      <c r="D23" s="48"/>
      <c r="E23" s="42"/>
      <c r="F23" s="48"/>
      <c r="G23" s="48"/>
      <c r="H23" s="48"/>
      <c r="I23" s="48"/>
      <c r="J23" s="48"/>
      <c r="K23" s="48"/>
      <c r="L23" s="48"/>
    </row>
    <row r="24" spans="1:12" ht="15.5" x14ac:dyDescent="0.35">
      <c r="A24" s="59"/>
      <c r="B24" s="48" t="s">
        <v>91</v>
      </c>
      <c r="F24" s="48"/>
      <c r="G24" s="48"/>
      <c r="H24" s="48"/>
      <c r="I24" s="48"/>
      <c r="J24" s="48"/>
      <c r="K24" s="48"/>
      <c r="L24" s="48"/>
    </row>
    <row r="25" spans="1:12" ht="15.5" x14ac:dyDescent="0.35">
      <c r="A25" s="48"/>
      <c r="B25" s="48"/>
      <c r="C25" s="48"/>
      <c r="D25" s="48"/>
      <c r="E25" s="48"/>
      <c r="F25" s="48"/>
      <c r="G25" s="48"/>
      <c r="H25" s="48"/>
      <c r="I25" s="48"/>
      <c r="J25" s="48"/>
      <c r="K25" s="48"/>
      <c r="L25" s="48"/>
    </row>
    <row r="26" spans="1:12" ht="15.5" x14ac:dyDescent="0.35">
      <c r="C26" s="48"/>
      <c r="D26" s="48"/>
      <c r="E26" s="48"/>
      <c r="F26" s="48"/>
      <c r="G26" s="48"/>
      <c r="H26" s="48"/>
      <c r="I26" s="48"/>
      <c r="J26" s="48"/>
      <c r="K26" s="48"/>
      <c r="L26" s="48"/>
    </row>
    <row r="27" spans="1:12" ht="15.5" x14ac:dyDescent="0.35">
      <c r="C27" s="48"/>
      <c r="D27" s="42"/>
      <c r="E27" s="42"/>
      <c r="F27" s="48"/>
      <c r="G27" s="48"/>
      <c r="H27" s="48"/>
      <c r="I27" s="48"/>
      <c r="J27" s="48"/>
      <c r="K27" s="48"/>
      <c r="L27" s="48"/>
    </row>
    <row r="28" spans="1:12" ht="15.5" x14ac:dyDescent="0.35">
      <c r="C28" s="48"/>
      <c r="D28" s="48"/>
      <c r="E28" s="48"/>
      <c r="F28" s="48"/>
      <c r="G28" s="48"/>
      <c r="H28" s="48"/>
      <c r="I28" s="48"/>
      <c r="J28" s="48"/>
      <c r="K28" s="48"/>
      <c r="L28" s="48"/>
    </row>
    <row r="29" spans="1:12" ht="15.5" x14ac:dyDescent="0.35">
      <c r="C29" s="48"/>
      <c r="D29" s="48"/>
      <c r="E29" s="48"/>
      <c r="F29" s="48"/>
      <c r="G29" s="48"/>
      <c r="H29" s="48"/>
      <c r="I29" s="48"/>
      <c r="J29" s="48"/>
      <c r="K29" s="48"/>
      <c r="L29" s="48"/>
    </row>
    <row r="30" spans="1:12" ht="15.5" x14ac:dyDescent="0.35">
      <c r="C30" s="48"/>
      <c r="D30" s="48"/>
      <c r="E30" s="48"/>
      <c r="F30" s="48"/>
      <c r="G30" s="48"/>
      <c r="H30" s="48"/>
      <c r="I30" s="48"/>
      <c r="J30" s="48"/>
      <c r="K30" s="48"/>
      <c r="L30" s="48"/>
    </row>
    <row r="31" spans="1:12" ht="15.5" x14ac:dyDescent="0.35">
      <c r="C31" s="48"/>
      <c r="D31" s="48"/>
      <c r="E31" s="48"/>
      <c r="F31" s="48"/>
      <c r="G31" s="48"/>
      <c r="H31" s="48"/>
      <c r="I31" s="48"/>
      <c r="J31" s="48"/>
      <c r="K31" s="48"/>
      <c r="L31" s="48"/>
    </row>
    <row r="32" spans="1:12" ht="15.5" x14ac:dyDescent="0.35">
      <c r="A32" s="48"/>
      <c r="B32" s="48"/>
      <c r="C32" s="48"/>
      <c r="D32" s="48"/>
      <c r="E32" s="48"/>
      <c r="F32" s="48"/>
      <c r="G32" s="48"/>
      <c r="H32" s="48"/>
      <c r="I32" s="48"/>
      <c r="J32" s="48"/>
      <c r="K32" s="48"/>
      <c r="L32" s="48"/>
    </row>
  </sheetData>
  <protectedRanges>
    <protectedRange sqref="C20:D20" name="Range1_4_1"/>
  </protectedRanges>
  <phoneticPr fontId="31"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EDBE-0D2C-4578-B4ED-3D94E353E6F4}">
  <dimension ref="A2:F22"/>
  <sheetViews>
    <sheetView zoomScale="85" zoomScaleNormal="85" workbookViewId="0"/>
  </sheetViews>
  <sheetFormatPr defaultColWidth="9.1796875" defaultRowHeight="14.5" x14ac:dyDescent="0.35"/>
  <cols>
    <col min="1" max="1" width="59" style="1" customWidth="1"/>
    <col min="2" max="2" width="28" style="1" customWidth="1"/>
    <col min="3" max="3" width="36.81640625" style="1" bestFit="1" customWidth="1"/>
    <col min="4" max="4" width="47.54296875" style="1" customWidth="1"/>
    <col min="5" max="5" width="35.54296875" style="1" bestFit="1" customWidth="1"/>
    <col min="6" max="6" width="11.81640625" style="1" bestFit="1" customWidth="1"/>
    <col min="7" max="7" width="9.1796875" style="1"/>
    <col min="8" max="9" width="19" style="1" customWidth="1"/>
    <col min="10" max="16384" width="9.1796875" style="1"/>
  </cols>
  <sheetData>
    <row r="2" spans="1:6" x14ac:dyDescent="0.35">
      <c r="B2" s="21" t="s">
        <v>143</v>
      </c>
      <c r="C2" s="21" t="s">
        <v>144</v>
      </c>
      <c r="D2" s="21" t="s">
        <v>145</v>
      </c>
      <c r="E2" s="21" t="s">
        <v>73</v>
      </c>
    </row>
    <row r="3" spans="1:6" x14ac:dyDescent="0.35">
      <c r="A3" s="7" t="s">
        <v>54</v>
      </c>
      <c r="C3" s="76"/>
      <c r="E3" s="96"/>
    </row>
    <row r="4" spans="1:6" x14ac:dyDescent="0.35">
      <c r="A4" s="77" t="s">
        <v>146</v>
      </c>
      <c r="B4" s="115">
        <f>ROUND('Permanent Staff Salaries'!B4+'Permanent Staff Salaries'!B5, 0)</f>
        <v>3</v>
      </c>
      <c r="C4" s="69">
        <f>'Other Expenses'!B4*B4</f>
        <v>6000</v>
      </c>
      <c r="D4" s="99">
        <f>C4*(1+Dashboard!$B$6)</f>
        <v>6456</v>
      </c>
      <c r="E4" s="87">
        <f>D4</f>
        <v>6456</v>
      </c>
    </row>
    <row r="5" spans="1:6" x14ac:dyDescent="0.35">
      <c r="A5" s="151" t="s">
        <v>147</v>
      </c>
      <c r="B5" s="115">
        <f>ROUND('Permanent Staff Salaries'!B7+IF(ISBLANK(Dashboard!B16), Dashboard!B15, Dashboard!B16), 0)</f>
        <v>28</v>
      </c>
      <c r="C5" s="69">
        <f>IF(1500*B5&gt;25000, 1500*B5, 25000)</f>
        <v>42000</v>
      </c>
      <c r="D5" s="99">
        <f>C5*(1+Dashboard!$B$6)</f>
        <v>45192</v>
      </c>
      <c r="E5" s="87">
        <f>D5</f>
        <v>45192</v>
      </c>
    </row>
    <row r="6" spans="1:6" x14ac:dyDescent="0.35">
      <c r="A6" s="77" t="s">
        <v>38</v>
      </c>
      <c r="B6" s="115">
        <f>'Permanent Staff Salaries'!B6</f>
        <v>34</v>
      </c>
      <c r="C6" s="69">
        <f>IF(B6*500&gt;8000, B6*500, 8000)</f>
        <v>17000</v>
      </c>
      <c r="D6" s="99">
        <f>C6*(1+Dashboard!$B$6)</f>
        <v>18292</v>
      </c>
      <c r="E6" s="87">
        <f>D6</f>
        <v>18292</v>
      </c>
    </row>
    <row r="7" spans="1:6" x14ac:dyDescent="0.35">
      <c r="A7" s="7" t="s">
        <v>55</v>
      </c>
      <c r="B7" s="114">
        <f>Dashboard!$B$14</f>
        <v>3</v>
      </c>
      <c r="C7" s="69">
        <f>IF($B$7=1,50000,IF(AND($B$7&gt;=2,$B$7&lt;=5),75000,100000))</f>
        <v>75000</v>
      </c>
      <c r="D7" s="117" t="s">
        <v>148</v>
      </c>
      <c r="E7" s="87">
        <f>C7</f>
        <v>75000</v>
      </c>
    </row>
    <row r="9" spans="1:6" x14ac:dyDescent="0.35">
      <c r="E9" s="81"/>
      <c r="F9" s="96"/>
    </row>
    <row r="10" spans="1:6" x14ac:dyDescent="0.35">
      <c r="B10" s="21" t="s">
        <v>23</v>
      </c>
      <c r="C10" s="21" t="s">
        <v>149</v>
      </c>
      <c r="D10" s="21" t="s">
        <v>73</v>
      </c>
      <c r="E10" s="21" t="s">
        <v>145</v>
      </c>
      <c r="F10" s="7" t="s">
        <v>73</v>
      </c>
    </row>
    <row r="11" spans="1:6" x14ac:dyDescent="0.35">
      <c r="A11" s="86" t="s">
        <v>56</v>
      </c>
      <c r="B11" s="100">
        <f>Dashboard!$B$14</f>
        <v>3</v>
      </c>
      <c r="C11" s="116" t="s">
        <v>148</v>
      </c>
      <c r="D11" s="69">
        <f>'Other Expenses'!$B$10*B11</f>
        <v>60000</v>
      </c>
      <c r="E11" s="117" t="s">
        <v>148</v>
      </c>
      <c r="F11" s="87">
        <f>D11</f>
        <v>60000</v>
      </c>
    </row>
    <row r="12" spans="1:6" x14ac:dyDescent="0.35">
      <c r="A12" s="7" t="s">
        <v>57</v>
      </c>
      <c r="B12" s="116" t="s">
        <v>148</v>
      </c>
      <c r="C12" s="100">
        <f>Dashboard!$B$13</f>
        <v>21</v>
      </c>
      <c r="D12" s="69">
        <f>C12*'Other Expenses'!B11</f>
        <v>12600</v>
      </c>
      <c r="E12" s="99">
        <f>D12*(1+Dashboard!B6)</f>
        <v>13557.6</v>
      </c>
      <c r="F12" s="87">
        <f>E12</f>
        <v>13557.6</v>
      </c>
    </row>
    <row r="13" spans="1:6" x14ac:dyDescent="0.35">
      <c r="E13" s="81" t="s">
        <v>58</v>
      </c>
      <c r="F13" s="87">
        <f>SUM(E4:E7,F11,F12)</f>
        <v>218497.6</v>
      </c>
    </row>
    <row r="18" spans="2:3" ht="15" thickBot="1" x14ac:dyDescent="0.4">
      <c r="B18" s="7" t="s">
        <v>150</v>
      </c>
    </row>
    <row r="19" spans="2:3" ht="16.5" thickBot="1" x14ac:dyDescent="0.4">
      <c r="B19" s="102" t="s">
        <v>151</v>
      </c>
      <c r="C19" s="103" t="s">
        <v>152</v>
      </c>
    </row>
    <row r="20" spans="2:3" ht="16.5" thickBot="1" x14ac:dyDescent="0.4">
      <c r="B20" s="104" t="s">
        <v>153</v>
      </c>
      <c r="C20" s="105" t="s">
        <v>154</v>
      </c>
    </row>
    <row r="21" spans="2:3" ht="16.5" thickBot="1" x14ac:dyDescent="0.4">
      <c r="B21" s="104" t="s">
        <v>155</v>
      </c>
      <c r="C21" s="106">
        <v>75000</v>
      </c>
    </row>
    <row r="22" spans="2:3" ht="16.5" thickBot="1" x14ac:dyDescent="0.4">
      <c r="B22" s="104" t="s">
        <v>156</v>
      </c>
      <c r="C22" s="106">
        <v>100000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3F4D2DEAAD834CB775923EACD89FD0" ma:contentTypeVersion="8" ma:contentTypeDescription="Create a new document." ma:contentTypeScope="" ma:versionID="3aac4a37b184d7a35a30bc401341eec7">
  <xsd:schema xmlns:xsd="http://www.w3.org/2001/XMLSchema" xmlns:xs="http://www.w3.org/2001/XMLSchema" xmlns:p="http://schemas.microsoft.com/office/2006/metadata/properties" xmlns:ns2="df098190-b5a4-4e20-b88c-3dd1b2a5ca74" xmlns:ns3="bd0bd218-6402-485f-b6fb-41c272b8437d" targetNamespace="http://schemas.microsoft.com/office/2006/metadata/properties" ma:root="true" ma:fieldsID="8c002f66c402391f8058818825458ddf" ns2:_="" ns3:_="">
    <xsd:import namespace="df098190-b5a4-4e20-b88c-3dd1b2a5ca74"/>
    <xsd:import namespace="bd0bd218-6402-485f-b6fb-41c272b843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098190-b5a4-4e20-b88c-3dd1b2a5c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d0bd218-6402-485f-b6fb-41c272b8437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830BBC-225C-450F-AD8B-4C3C0082C62B}">
  <ds:schemaRefs>
    <ds:schemaRef ds:uri="bd0bd218-6402-485f-b6fb-41c272b8437d"/>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df098190-b5a4-4e20-b88c-3dd1b2a5ca74"/>
    <ds:schemaRef ds:uri="http://www.w3.org/XML/1998/namespace"/>
  </ds:schemaRefs>
</ds:datastoreItem>
</file>

<file path=customXml/itemProps2.xml><?xml version="1.0" encoding="utf-8"?>
<ds:datastoreItem xmlns:ds="http://schemas.openxmlformats.org/officeDocument/2006/customXml" ds:itemID="{6A3CBE2D-FA62-4B8A-A9B9-554AD93A7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098190-b5a4-4e20-b88c-3dd1b2a5ca74"/>
    <ds:schemaRef ds:uri="bd0bd218-6402-485f-b6fb-41c272b843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187EA-A9E7-4DCA-8CEF-F75B5FE17B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Instructions</vt:lpstr>
      <vt:lpstr>Dashboard</vt:lpstr>
      <vt:lpstr>Summary Results</vt:lpstr>
      <vt:lpstr>Calculations-&gt;&gt;</vt:lpstr>
      <vt:lpstr>Permanent Staff Salaries</vt:lpstr>
      <vt:lpstr>Specialist Services Fees</vt:lpstr>
      <vt:lpstr>Cultural Needs Costs</vt:lpstr>
      <vt:lpstr>Equipment and Resources Costs</vt:lpstr>
      <vt:lpstr> Other Expenses</vt:lpstr>
      <vt:lpstr>Inputs-&gt;&gt; </vt:lpstr>
      <vt:lpstr>Perm Staff Wage Data</vt:lpstr>
      <vt:lpstr>Specialist Fees Data</vt:lpstr>
      <vt:lpstr>Equipment and Resources Data</vt:lpstr>
      <vt:lpstr>Cultural Needs Data</vt:lpstr>
      <vt:lpstr>Other Expenses</vt:lpstr>
      <vt:lpstr>FN Remoteness</vt:lpstr>
      <vt:lpstr>List of First Nations</vt:lpstr>
      <vt:lpstr>Alberta</vt:lpstr>
      <vt:lpstr>Atlantic</vt:lpstr>
      <vt:lpstr>Manitoba</vt:lpstr>
      <vt:lpstr>Ontario</vt:lpstr>
      <vt:lpstr>Quebec</vt:lpstr>
      <vt:lpstr>Saskatchewan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Ian Ho</dc:creator>
  <cp:keywords/>
  <dc:description/>
  <cp:lastModifiedBy>Khrystyna Orobets</cp:lastModifiedBy>
  <cp:revision/>
  <dcterms:created xsi:type="dcterms:W3CDTF">2015-06-05T18:17:20Z</dcterms:created>
  <dcterms:modified xsi:type="dcterms:W3CDTF">2023-05-26T03:14:27Z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0x0101007E3F4D2DEAAD834CB775923EACD89FD0</vt:lpwstr>
  </property>
</Properties>
</file>